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Odlehčovací 106\"/>
    </mc:Choice>
  </mc:AlternateContent>
  <bookViews>
    <workbookView xWindow="-12" yWindow="-12" windowWidth="28860" windowHeight="9072" activeTab="2"/>
  </bookViews>
  <sheets>
    <sheet name="Krycí list rozpočtu" sheetId="3" r:id="rId1"/>
    <sheet name="Stavební rozpočet - součet" sheetId="2" r:id="rId2"/>
    <sheet name="Stavební rozpočet" sheetId="1" r:id="rId3"/>
  </sheets>
  <calcPr calcId="152511"/>
</workbook>
</file>

<file path=xl/calcChain.xml><?xml version="1.0" encoding="utf-8"?>
<calcChain xmlns="http://schemas.openxmlformats.org/spreadsheetml/2006/main">
  <c r="L46" i="1" l="1"/>
  <c r="K46" i="1"/>
  <c r="J46" i="1"/>
  <c r="C2" i="3"/>
  <c r="F2" i="3"/>
  <c r="C4" i="3"/>
  <c r="F4" i="3"/>
  <c r="C6" i="3"/>
  <c r="F6" i="3"/>
  <c r="C8" i="3"/>
  <c r="F8" i="3"/>
  <c r="C10" i="3"/>
  <c r="F10" i="3"/>
  <c r="I10" i="3"/>
  <c r="F22" i="3"/>
  <c r="I22" i="3"/>
  <c r="L12" i="1"/>
  <c r="AS12" i="1"/>
  <c r="J13" i="1"/>
  <c r="J12" i="1" s="1"/>
  <c r="K13" i="1"/>
  <c r="K12" i="1" s="1"/>
  <c r="L13" i="1"/>
  <c r="Z13" i="1"/>
  <c r="AB13" i="1"/>
  <c r="AC13" i="1"/>
  <c r="AD13" i="1"/>
  <c r="AE13" i="1"/>
  <c r="AF13" i="1"/>
  <c r="AG13" i="1"/>
  <c r="AH13" i="1"/>
  <c r="AJ13" i="1"/>
  <c r="AK13" i="1"/>
  <c r="AL13" i="1"/>
  <c r="AU12" i="1" s="1"/>
  <c r="AO13" i="1"/>
  <c r="AP13" i="1"/>
  <c r="AX13" i="1" s="1"/>
  <c r="AW13" i="1"/>
  <c r="BD13" i="1"/>
  <c r="BF13" i="1"/>
  <c r="BH13" i="1"/>
  <c r="BI13" i="1"/>
  <c r="BJ13" i="1"/>
  <c r="J15" i="1"/>
  <c r="L15" i="1"/>
  <c r="Z15" i="1"/>
  <c r="AB15" i="1"/>
  <c r="AD15" i="1"/>
  <c r="AE15" i="1"/>
  <c r="AF15" i="1"/>
  <c r="AG15" i="1"/>
  <c r="AH15" i="1"/>
  <c r="AJ15" i="1"/>
  <c r="AK15" i="1"/>
  <c r="AL15" i="1"/>
  <c r="AO15" i="1"/>
  <c r="AW15" i="1" s="1"/>
  <c r="AP15" i="1"/>
  <c r="K15" i="1" s="1"/>
  <c r="BD15" i="1"/>
  <c r="BF15" i="1"/>
  <c r="BH15" i="1"/>
  <c r="BI15" i="1"/>
  <c r="AC15" i="1" s="1"/>
  <c r="BJ15" i="1"/>
  <c r="J18" i="1"/>
  <c r="K18" i="1"/>
  <c r="L18" i="1"/>
  <c r="Z18" i="1"/>
  <c r="AB18" i="1"/>
  <c r="AC18" i="1"/>
  <c r="AD18" i="1"/>
  <c r="AE18" i="1"/>
  <c r="AF18" i="1"/>
  <c r="AG18" i="1"/>
  <c r="AH18" i="1"/>
  <c r="AJ18" i="1"/>
  <c r="AK18" i="1"/>
  <c r="AL18" i="1"/>
  <c r="AU17" i="1" s="1"/>
  <c r="AO18" i="1"/>
  <c r="AP18" i="1"/>
  <c r="AX18" i="1" s="1"/>
  <c r="AW18" i="1"/>
  <c r="BD18" i="1"/>
  <c r="BF18" i="1"/>
  <c r="BH18" i="1"/>
  <c r="BI18" i="1"/>
  <c r="BJ18" i="1"/>
  <c r="J20" i="1"/>
  <c r="L20" i="1"/>
  <c r="Z20" i="1"/>
  <c r="AB20" i="1"/>
  <c r="AD20" i="1"/>
  <c r="AE20" i="1"/>
  <c r="AF20" i="1"/>
  <c r="AG20" i="1"/>
  <c r="AH20" i="1"/>
  <c r="AJ20" i="1"/>
  <c r="AK20" i="1"/>
  <c r="AL20" i="1"/>
  <c r="AO20" i="1"/>
  <c r="AW20" i="1" s="1"/>
  <c r="AP20" i="1"/>
  <c r="K20" i="1" s="1"/>
  <c r="BD20" i="1"/>
  <c r="BF20" i="1"/>
  <c r="BH20" i="1"/>
  <c r="BI20" i="1"/>
  <c r="AC20" i="1" s="1"/>
  <c r="BJ20" i="1"/>
  <c r="L22" i="1"/>
  <c r="AK22" i="1" s="1"/>
  <c r="Z22" i="1"/>
  <c r="AD22" i="1"/>
  <c r="AE22" i="1"/>
  <c r="AF22" i="1"/>
  <c r="AG22" i="1"/>
  <c r="AH22" i="1"/>
  <c r="AJ22" i="1"/>
  <c r="AS17" i="1" s="1"/>
  <c r="AL22" i="1"/>
  <c r="AO22" i="1"/>
  <c r="J22" i="1" s="1"/>
  <c r="AP22" i="1"/>
  <c r="BD22" i="1"/>
  <c r="BF22" i="1"/>
  <c r="BH22" i="1"/>
  <c r="AB22" i="1" s="1"/>
  <c r="BI22" i="1"/>
  <c r="AC22" i="1" s="1"/>
  <c r="BJ22" i="1"/>
  <c r="K24" i="1"/>
  <c r="L24" i="1"/>
  <c r="AK24" i="1" s="1"/>
  <c r="Z24" i="1"/>
  <c r="AC24" i="1"/>
  <c r="AD24" i="1"/>
  <c r="AE24" i="1"/>
  <c r="AF24" i="1"/>
  <c r="AG24" i="1"/>
  <c r="AH24" i="1"/>
  <c r="AJ24" i="1"/>
  <c r="AL24" i="1"/>
  <c r="AO24" i="1"/>
  <c r="AP24" i="1"/>
  <c r="AX24" i="1"/>
  <c r="BD24" i="1"/>
  <c r="BF24" i="1"/>
  <c r="BI24" i="1"/>
  <c r="BJ24" i="1"/>
  <c r="J27" i="1"/>
  <c r="K27" i="1"/>
  <c r="L27" i="1"/>
  <c r="Z27" i="1"/>
  <c r="AB27" i="1"/>
  <c r="AC27" i="1"/>
  <c r="AD27" i="1"/>
  <c r="AE27" i="1"/>
  <c r="AF27" i="1"/>
  <c r="AG27" i="1"/>
  <c r="AH27" i="1"/>
  <c r="AJ27" i="1"/>
  <c r="AK27" i="1"/>
  <c r="AL27" i="1"/>
  <c r="AO27" i="1"/>
  <c r="AP27" i="1"/>
  <c r="AX27" i="1" s="1"/>
  <c r="AW27" i="1"/>
  <c r="BD27" i="1"/>
  <c r="BF27" i="1"/>
  <c r="BH27" i="1"/>
  <c r="BI27" i="1"/>
  <c r="BJ27" i="1"/>
  <c r="K30" i="1"/>
  <c r="L30" i="1"/>
  <c r="Z30" i="1"/>
  <c r="AC30" i="1"/>
  <c r="AD30" i="1"/>
  <c r="AE30" i="1"/>
  <c r="AF30" i="1"/>
  <c r="AG30" i="1"/>
  <c r="AH30" i="1"/>
  <c r="AJ30" i="1"/>
  <c r="AL30" i="1"/>
  <c r="AO30" i="1"/>
  <c r="AP30" i="1"/>
  <c r="AX30" i="1"/>
  <c r="BD30" i="1"/>
  <c r="BF30" i="1"/>
  <c r="BH30" i="1"/>
  <c r="AB30" i="1" s="1"/>
  <c r="BI30" i="1"/>
  <c r="BJ30" i="1"/>
  <c r="J33" i="1"/>
  <c r="K33" i="1"/>
  <c r="L33" i="1"/>
  <c r="Z33" i="1"/>
  <c r="AB33" i="1"/>
  <c r="AC33" i="1"/>
  <c r="AD33" i="1"/>
  <c r="AE33" i="1"/>
  <c r="AF33" i="1"/>
  <c r="AG33" i="1"/>
  <c r="AH33" i="1"/>
  <c r="AJ33" i="1"/>
  <c r="AK33" i="1"/>
  <c r="AL33" i="1"/>
  <c r="AO33" i="1"/>
  <c r="AP33" i="1"/>
  <c r="AX33" i="1" s="1"/>
  <c r="AW33" i="1"/>
  <c r="BD33" i="1"/>
  <c r="BF33" i="1"/>
  <c r="BH33" i="1"/>
  <c r="BI33" i="1"/>
  <c r="BJ33" i="1"/>
  <c r="J38" i="1"/>
  <c r="L38" i="1"/>
  <c r="Z38" i="1"/>
  <c r="AB38" i="1"/>
  <c r="AD38" i="1"/>
  <c r="AE38" i="1"/>
  <c r="AF38" i="1"/>
  <c r="AG38" i="1"/>
  <c r="AH38" i="1"/>
  <c r="AJ38" i="1"/>
  <c r="AS29" i="1" s="1"/>
  <c r="AK38" i="1"/>
  <c r="AL38" i="1"/>
  <c r="AO38" i="1"/>
  <c r="AW38" i="1" s="1"/>
  <c r="AP38" i="1"/>
  <c r="BD38" i="1"/>
  <c r="BF38" i="1"/>
  <c r="BH38" i="1"/>
  <c r="BI38" i="1"/>
  <c r="AC38" i="1" s="1"/>
  <c r="BJ38" i="1"/>
  <c r="L42" i="1"/>
  <c r="AK42" i="1" s="1"/>
  <c r="Z42" i="1"/>
  <c r="AD42" i="1"/>
  <c r="AE42" i="1"/>
  <c r="AF42" i="1"/>
  <c r="AG42" i="1"/>
  <c r="AH42" i="1"/>
  <c r="AJ42" i="1"/>
  <c r="AL42" i="1"/>
  <c r="AO42" i="1"/>
  <c r="AP42" i="1"/>
  <c r="BD42" i="1"/>
  <c r="BF42" i="1"/>
  <c r="BJ42" i="1"/>
  <c r="K44" i="1"/>
  <c r="L44" i="1"/>
  <c r="AK44" i="1" s="1"/>
  <c r="Z44" i="1"/>
  <c r="AC44" i="1"/>
  <c r="AD44" i="1"/>
  <c r="AE44" i="1"/>
  <c r="AF44" i="1"/>
  <c r="AG44" i="1"/>
  <c r="AH44" i="1"/>
  <c r="AJ44" i="1"/>
  <c r="AL44" i="1"/>
  <c r="AO44" i="1"/>
  <c r="AP44" i="1"/>
  <c r="AX44" i="1"/>
  <c r="BD44" i="1"/>
  <c r="BF44" i="1"/>
  <c r="BI44" i="1"/>
  <c r="BJ44" i="1"/>
  <c r="L48" i="1"/>
  <c r="Z48" i="1"/>
  <c r="AD48" i="1"/>
  <c r="AE48" i="1"/>
  <c r="AF48" i="1"/>
  <c r="AG48" i="1"/>
  <c r="AH48" i="1"/>
  <c r="AJ48" i="1"/>
  <c r="AK48" i="1"/>
  <c r="AL48" i="1"/>
  <c r="AO48" i="1"/>
  <c r="J48" i="1" s="1"/>
  <c r="AP48" i="1"/>
  <c r="AX48" i="1" s="1"/>
  <c r="BD48" i="1"/>
  <c r="BF48" i="1"/>
  <c r="BI48" i="1"/>
  <c r="AC48" i="1" s="1"/>
  <c r="BJ48" i="1"/>
  <c r="L50" i="1"/>
  <c r="Z50" i="1"/>
  <c r="AD50" i="1"/>
  <c r="AE50" i="1"/>
  <c r="AF50" i="1"/>
  <c r="AG50" i="1"/>
  <c r="AH50" i="1"/>
  <c r="AJ50" i="1"/>
  <c r="AK50" i="1"/>
  <c r="AL50" i="1"/>
  <c r="AO50" i="1"/>
  <c r="J50" i="1" s="1"/>
  <c r="AP50" i="1"/>
  <c r="K50" i="1" s="1"/>
  <c r="AW50" i="1"/>
  <c r="AX50" i="1"/>
  <c r="BC50" i="1" s="1"/>
  <c r="BD50" i="1"/>
  <c r="BF50" i="1"/>
  <c r="BH50" i="1"/>
  <c r="AB50" i="1" s="1"/>
  <c r="BI50" i="1"/>
  <c r="AC50" i="1" s="1"/>
  <c r="BJ50" i="1"/>
  <c r="L52" i="1"/>
  <c r="AU52" i="1"/>
  <c r="J53" i="1"/>
  <c r="J52" i="1" s="1"/>
  <c r="L53" i="1"/>
  <c r="Z53" i="1"/>
  <c r="AB53" i="1"/>
  <c r="AD53" i="1"/>
  <c r="AE53" i="1"/>
  <c r="AF53" i="1"/>
  <c r="AG53" i="1"/>
  <c r="AH53" i="1"/>
  <c r="AJ53" i="1"/>
  <c r="AS52" i="1" s="1"/>
  <c r="AK53" i="1"/>
  <c r="AT52" i="1" s="1"/>
  <c r="AL53" i="1"/>
  <c r="AO53" i="1"/>
  <c r="AW53" i="1" s="1"/>
  <c r="AP53" i="1"/>
  <c r="BD53" i="1"/>
  <c r="BF53" i="1"/>
  <c r="BH53" i="1"/>
  <c r="BI53" i="1"/>
  <c r="AC53" i="1" s="1"/>
  <c r="BJ53" i="1"/>
  <c r="J56" i="1"/>
  <c r="K56" i="1"/>
  <c r="L56" i="1"/>
  <c r="Z56" i="1"/>
  <c r="AB56" i="1"/>
  <c r="AC56" i="1"/>
  <c r="AD56" i="1"/>
  <c r="AE56" i="1"/>
  <c r="AF56" i="1"/>
  <c r="AG56" i="1"/>
  <c r="AH56" i="1"/>
  <c r="AJ56" i="1"/>
  <c r="AK56" i="1"/>
  <c r="AL56" i="1"/>
  <c r="AO56" i="1"/>
  <c r="AP56" i="1"/>
  <c r="AX56" i="1" s="1"/>
  <c r="AV56" i="1"/>
  <c r="AW56" i="1"/>
  <c r="BD56" i="1"/>
  <c r="BF56" i="1"/>
  <c r="BH56" i="1"/>
  <c r="BI56" i="1"/>
  <c r="BJ56" i="1"/>
  <c r="J58" i="1"/>
  <c r="L58" i="1"/>
  <c r="Z58" i="1"/>
  <c r="AB58" i="1"/>
  <c r="AD58" i="1"/>
  <c r="AE58" i="1"/>
  <c r="AF58" i="1"/>
  <c r="AG58" i="1"/>
  <c r="AH58" i="1"/>
  <c r="AJ58" i="1"/>
  <c r="AS55" i="1" s="1"/>
  <c r="AK58" i="1"/>
  <c r="AL58" i="1"/>
  <c r="AO58" i="1"/>
  <c r="AW58" i="1" s="1"/>
  <c r="AP58" i="1"/>
  <c r="BD58" i="1"/>
  <c r="BF58" i="1"/>
  <c r="BH58" i="1"/>
  <c r="BJ58" i="1"/>
  <c r="L59" i="1"/>
  <c r="Z59" i="1"/>
  <c r="AD59" i="1"/>
  <c r="AE59" i="1"/>
  <c r="AF59" i="1"/>
  <c r="AG59" i="1"/>
  <c r="AH59" i="1"/>
  <c r="AJ59" i="1"/>
  <c r="AL59" i="1"/>
  <c r="AO59" i="1"/>
  <c r="AP59" i="1"/>
  <c r="K59" i="1" s="1"/>
  <c r="AX59" i="1"/>
  <c r="BD59" i="1"/>
  <c r="BF59" i="1"/>
  <c r="BH59" i="1"/>
  <c r="AB59" i="1" s="1"/>
  <c r="BI59" i="1"/>
  <c r="AC59" i="1" s="1"/>
  <c r="BJ59" i="1"/>
  <c r="K60" i="1"/>
  <c r="L60" i="1"/>
  <c r="AK60" i="1" s="1"/>
  <c r="Z60" i="1"/>
  <c r="AC60" i="1"/>
  <c r="AD60" i="1"/>
  <c r="AE60" i="1"/>
  <c r="AF60" i="1"/>
  <c r="AG60" i="1"/>
  <c r="AH60" i="1"/>
  <c r="AJ60" i="1"/>
  <c r="AL60" i="1"/>
  <c r="AO60" i="1"/>
  <c r="J60" i="1" s="1"/>
  <c r="AP60" i="1"/>
  <c r="AW60" i="1"/>
  <c r="AX60" i="1"/>
  <c r="BD60" i="1"/>
  <c r="BF60" i="1"/>
  <c r="BH60" i="1"/>
  <c r="AB60" i="1" s="1"/>
  <c r="BI60" i="1"/>
  <c r="BJ60" i="1"/>
  <c r="AU62" i="1"/>
  <c r="K63" i="1"/>
  <c r="L63" i="1"/>
  <c r="Z63" i="1"/>
  <c r="AB63" i="1"/>
  <c r="AC63" i="1"/>
  <c r="AF63" i="1"/>
  <c r="AG63" i="1"/>
  <c r="AH63" i="1"/>
  <c r="AJ63" i="1"/>
  <c r="AL63" i="1"/>
  <c r="AO63" i="1"/>
  <c r="AP63" i="1"/>
  <c r="AX63" i="1"/>
  <c r="BD63" i="1"/>
  <c r="BF63" i="1"/>
  <c r="BI63" i="1"/>
  <c r="AE63" i="1" s="1"/>
  <c r="BJ63" i="1"/>
  <c r="K68" i="1"/>
  <c r="L68" i="1"/>
  <c r="AK68" i="1" s="1"/>
  <c r="Z68" i="1"/>
  <c r="AB68" i="1"/>
  <c r="AC68" i="1"/>
  <c r="AF68" i="1"/>
  <c r="AG68" i="1"/>
  <c r="AH68" i="1"/>
  <c r="AJ68" i="1"/>
  <c r="AL68" i="1"/>
  <c r="AO68" i="1"/>
  <c r="AP68" i="1"/>
  <c r="AX68" i="1"/>
  <c r="BD68" i="1"/>
  <c r="BF68" i="1"/>
  <c r="BI68" i="1"/>
  <c r="AE68" i="1" s="1"/>
  <c r="BJ68" i="1"/>
  <c r="J71" i="1"/>
  <c r="L71" i="1"/>
  <c r="Z71" i="1"/>
  <c r="AB71" i="1"/>
  <c r="AC71" i="1"/>
  <c r="AF71" i="1"/>
  <c r="AG71" i="1"/>
  <c r="AH71" i="1"/>
  <c r="AJ71" i="1"/>
  <c r="AK71" i="1"/>
  <c r="AL71" i="1"/>
  <c r="AO71" i="1"/>
  <c r="AP71" i="1"/>
  <c r="AW71" i="1"/>
  <c r="BD71" i="1"/>
  <c r="BF71" i="1"/>
  <c r="BH71" i="1"/>
  <c r="AD71" i="1" s="1"/>
  <c r="BJ71" i="1"/>
  <c r="J74" i="1"/>
  <c r="L74" i="1"/>
  <c r="AB74" i="1"/>
  <c r="AC74" i="1"/>
  <c r="AD74" i="1"/>
  <c r="AE74" i="1"/>
  <c r="AF74" i="1"/>
  <c r="AG74" i="1"/>
  <c r="AH74" i="1"/>
  <c r="AJ74" i="1"/>
  <c r="AK74" i="1"/>
  <c r="AL74" i="1"/>
  <c r="AO74" i="1"/>
  <c r="AW74" i="1" s="1"/>
  <c r="AP74" i="1"/>
  <c r="K74" i="1" s="1"/>
  <c r="AV74" i="1"/>
  <c r="AX74" i="1"/>
  <c r="BC74" i="1" s="1"/>
  <c r="BD74" i="1"/>
  <c r="BF74" i="1"/>
  <c r="BH74" i="1"/>
  <c r="BJ74" i="1"/>
  <c r="Z74" i="1" s="1"/>
  <c r="L75" i="1"/>
  <c r="J76" i="1"/>
  <c r="K76" i="1"/>
  <c r="L76" i="1"/>
  <c r="Z76" i="1"/>
  <c r="AB76" i="1"/>
  <c r="AC76" i="1"/>
  <c r="AF76" i="1"/>
  <c r="AG76" i="1"/>
  <c r="AH76" i="1"/>
  <c r="AJ76" i="1"/>
  <c r="AK76" i="1"/>
  <c r="AL76" i="1"/>
  <c r="AO76" i="1"/>
  <c r="AP76" i="1"/>
  <c r="AX76" i="1" s="1"/>
  <c r="AW76" i="1"/>
  <c r="AV76" i="1" s="1"/>
  <c r="BC76" i="1"/>
  <c r="BD76" i="1"/>
  <c r="BF76" i="1"/>
  <c r="BH76" i="1"/>
  <c r="AD76" i="1" s="1"/>
  <c r="BI76" i="1"/>
  <c r="AE76" i="1" s="1"/>
  <c r="BJ76" i="1"/>
  <c r="L77" i="1"/>
  <c r="AK77" i="1" s="1"/>
  <c r="Z77" i="1"/>
  <c r="AB77" i="1"/>
  <c r="AC77" i="1"/>
  <c r="AE77" i="1"/>
  <c r="AF77" i="1"/>
  <c r="AG77" i="1"/>
  <c r="AH77" i="1"/>
  <c r="AJ77" i="1"/>
  <c r="AL77" i="1"/>
  <c r="AO77" i="1"/>
  <c r="AP77" i="1"/>
  <c r="BD77" i="1"/>
  <c r="BF77" i="1"/>
  <c r="BI77" i="1"/>
  <c r="BJ77" i="1"/>
  <c r="L79" i="1"/>
  <c r="AK79" i="1" s="1"/>
  <c r="Z79" i="1"/>
  <c r="AB79" i="1"/>
  <c r="AC79" i="1"/>
  <c r="AF79" i="1"/>
  <c r="AG79" i="1"/>
  <c r="AH79" i="1"/>
  <c r="AJ79" i="1"/>
  <c r="AL79" i="1"/>
  <c r="AO79" i="1"/>
  <c r="J79" i="1" s="1"/>
  <c r="AP79" i="1"/>
  <c r="K79" i="1" s="1"/>
  <c r="AW79" i="1"/>
  <c r="AX79" i="1"/>
  <c r="BD79" i="1"/>
  <c r="BF79" i="1"/>
  <c r="BH79" i="1"/>
  <c r="AD79" i="1" s="1"/>
  <c r="BJ79" i="1"/>
  <c r="K81" i="1"/>
  <c r="L81" i="1"/>
  <c r="Z81" i="1"/>
  <c r="AB81" i="1"/>
  <c r="AC81" i="1"/>
  <c r="AF81" i="1"/>
  <c r="AG81" i="1"/>
  <c r="AH81" i="1"/>
  <c r="AJ81" i="1"/>
  <c r="AK81" i="1"/>
  <c r="AL81" i="1"/>
  <c r="AO81" i="1"/>
  <c r="J81" i="1" s="1"/>
  <c r="AP81" i="1"/>
  <c r="AW81" i="1"/>
  <c r="AX81" i="1"/>
  <c r="BD81" i="1"/>
  <c r="BF81" i="1"/>
  <c r="BH81" i="1"/>
  <c r="AD81" i="1" s="1"/>
  <c r="BI81" i="1"/>
  <c r="AE81" i="1" s="1"/>
  <c r="BJ81" i="1"/>
  <c r="J83" i="1"/>
  <c r="K83" i="1"/>
  <c r="L83" i="1"/>
  <c r="Z83" i="1"/>
  <c r="AB83" i="1"/>
  <c r="AC83" i="1"/>
  <c r="AF83" i="1"/>
  <c r="AG83" i="1"/>
  <c r="AH83" i="1"/>
  <c r="AJ83" i="1"/>
  <c r="AK83" i="1"/>
  <c r="AL83" i="1"/>
  <c r="AO83" i="1"/>
  <c r="AP83" i="1"/>
  <c r="AW83" i="1"/>
  <c r="BD83" i="1"/>
  <c r="BF83" i="1"/>
  <c r="BH83" i="1"/>
  <c r="AD83" i="1" s="1"/>
  <c r="BJ83" i="1"/>
  <c r="L85" i="1"/>
  <c r="AB85" i="1"/>
  <c r="AC85" i="1"/>
  <c r="AD85" i="1"/>
  <c r="AE85" i="1"/>
  <c r="AF85" i="1"/>
  <c r="AG85" i="1"/>
  <c r="AH85" i="1"/>
  <c r="AJ85" i="1"/>
  <c r="AK85" i="1"/>
  <c r="AL85" i="1"/>
  <c r="AO85" i="1"/>
  <c r="AW85" i="1" s="1"/>
  <c r="AP85" i="1"/>
  <c r="BD85" i="1"/>
  <c r="BF85" i="1"/>
  <c r="BJ85" i="1"/>
  <c r="Z85" i="1" s="1"/>
  <c r="L86" i="1"/>
  <c r="AU86" i="1"/>
  <c r="J87" i="1"/>
  <c r="J86" i="1" s="1"/>
  <c r="L87" i="1"/>
  <c r="Z87" i="1"/>
  <c r="AB87" i="1"/>
  <c r="AC87" i="1"/>
  <c r="AF87" i="1"/>
  <c r="AG87" i="1"/>
  <c r="AH87" i="1"/>
  <c r="AJ87" i="1"/>
  <c r="AS86" i="1" s="1"/>
  <c r="AK87" i="1"/>
  <c r="AT86" i="1" s="1"/>
  <c r="AL87" i="1"/>
  <c r="AO87" i="1"/>
  <c r="AP87" i="1"/>
  <c r="AX87" i="1" s="1"/>
  <c r="AW87" i="1"/>
  <c r="BD87" i="1"/>
  <c r="BF87" i="1"/>
  <c r="BH87" i="1"/>
  <c r="AD87" i="1" s="1"/>
  <c r="BJ87" i="1"/>
  <c r="K89" i="1"/>
  <c r="L89" i="1"/>
  <c r="Z89" i="1"/>
  <c r="AB89" i="1"/>
  <c r="AC89" i="1"/>
  <c r="AF89" i="1"/>
  <c r="AG89" i="1"/>
  <c r="AH89" i="1"/>
  <c r="AJ89" i="1"/>
  <c r="AK89" i="1"/>
  <c r="AL89" i="1"/>
  <c r="AO89" i="1"/>
  <c r="J89" i="1" s="1"/>
  <c r="AP89" i="1"/>
  <c r="AW89" i="1"/>
  <c r="AX89" i="1"/>
  <c r="BD89" i="1"/>
  <c r="BF89" i="1"/>
  <c r="BH89" i="1"/>
  <c r="AD89" i="1" s="1"/>
  <c r="BI89" i="1"/>
  <c r="AE89" i="1" s="1"/>
  <c r="BJ89" i="1"/>
  <c r="J90" i="1"/>
  <c r="K90" i="1"/>
  <c r="L90" i="1"/>
  <c r="Z90" i="1"/>
  <c r="AB90" i="1"/>
  <c r="AC90" i="1"/>
  <c r="AF90" i="1"/>
  <c r="AG90" i="1"/>
  <c r="AH90" i="1"/>
  <c r="AJ90" i="1"/>
  <c r="AK90" i="1"/>
  <c r="AL90" i="1"/>
  <c r="AO90" i="1"/>
  <c r="AP90" i="1"/>
  <c r="AX90" i="1" s="1"/>
  <c r="AW90" i="1"/>
  <c r="AV90" i="1" s="1"/>
  <c r="BC90" i="1"/>
  <c r="BD90" i="1"/>
  <c r="BF90" i="1"/>
  <c r="BH90" i="1"/>
  <c r="AD90" i="1" s="1"/>
  <c r="BI90" i="1"/>
  <c r="AE90" i="1" s="1"/>
  <c r="BJ90" i="1"/>
  <c r="L91" i="1"/>
  <c r="AK91" i="1" s="1"/>
  <c r="Z91" i="1"/>
  <c r="AB91" i="1"/>
  <c r="AC91" i="1"/>
  <c r="AF91" i="1"/>
  <c r="AG91" i="1"/>
  <c r="AH91" i="1"/>
  <c r="AJ91" i="1"/>
  <c r="AL91" i="1"/>
  <c r="AO91" i="1"/>
  <c r="AP91" i="1"/>
  <c r="K91" i="1" s="1"/>
  <c r="AX91" i="1"/>
  <c r="BD91" i="1"/>
  <c r="BF91" i="1"/>
  <c r="BI91" i="1"/>
  <c r="AE91" i="1" s="1"/>
  <c r="BJ91" i="1"/>
  <c r="K92" i="1"/>
  <c r="L92" i="1"/>
  <c r="AK92" i="1" s="1"/>
  <c r="Z92" i="1"/>
  <c r="AB92" i="1"/>
  <c r="AC92" i="1"/>
  <c r="AF92" i="1"/>
  <c r="AG92" i="1"/>
  <c r="AH92" i="1"/>
  <c r="AJ92" i="1"/>
  <c r="AL92" i="1"/>
  <c r="AO92" i="1"/>
  <c r="AP92" i="1"/>
  <c r="AX92" i="1"/>
  <c r="BD92" i="1"/>
  <c r="BF92" i="1"/>
  <c r="BI92" i="1"/>
  <c r="AE92" i="1" s="1"/>
  <c r="BJ92" i="1"/>
  <c r="J93" i="1"/>
  <c r="K93" i="1"/>
  <c r="L93" i="1"/>
  <c r="Z93" i="1"/>
  <c r="AB93" i="1"/>
  <c r="AC93" i="1"/>
  <c r="AF93" i="1"/>
  <c r="AG93" i="1"/>
  <c r="AH93" i="1"/>
  <c r="AJ93" i="1"/>
  <c r="AK93" i="1"/>
  <c r="AL93" i="1"/>
  <c r="AO93" i="1"/>
  <c r="AP93" i="1"/>
  <c r="AX93" i="1" s="1"/>
  <c r="AV93" i="1"/>
  <c r="AW93" i="1"/>
  <c r="BC93" i="1" s="1"/>
  <c r="BD93" i="1"/>
  <c r="BF93" i="1"/>
  <c r="BH93" i="1"/>
  <c r="AD93" i="1" s="1"/>
  <c r="BI93" i="1"/>
  <c r="AE93" i="1" s="1"/>
  <c r="BJ93" i="1"/>
  <c r="J94" i="1"/>
  <c r="L94" i="1"/>
  <c r="Z94" i="1"/>
  <c r="AB94" i="1"/>
  <c r="AC94" i="1"/>
  <c r="AF94" i="1"/>
  <c r="AG94" i="1"/>
  <c r="AH94" i="1"/>
  <c r="AJ94" i="1"/>
  <c r="AK94" i="1"/>
  <c r="AL94" i="1"/>
  <c r="AO94" i="1"/>
  <c r="AW94" i="1" s="1"/>
  <c r="AP94" i="1"/>
  <c r="BD94" i="1"/>
  <c r="BF94" i="1"/>
  <c r="BH94" i="1"/>
  <c r="AD94" i="1" s="1"/>
  <c r="BJ94" i="1"/>
  <c r="L95" i="1"/>
  <c r="AK95" i="1" s="1"/>
  <c r="Z95" i="1"/>
  <c r="AB95" i="1"/>
  <c r="AC95" i="1"/>
  <c r="AF95" i="1"/>
  <c r="AG95" i="1"/>
  <c r="AH95" i="1"/>
  <c r="AJ95" i="1"/>
  <c r="AL95" i="1"/>
  <c r="AO95" i="1"/>
  <c r="AP95" i="1"/>
  <c r="AX95" i="1"/>
  <c r="BD95" i="1"/>
  <c r="BF95" i="1"/>
  <c r="BH95" i="1"/>
  <c r="AD95" i="1" s="1"/>
  <c r="BJ95" i="1"/>
  <c r="K97" i="1"/>
  <c r="L97" i="1"/>
  <c r="AK97" i="1" s="1"/>
  <c r="Z97" i="1"/>
  <c r="AB97" i="1"/>
  <c r="AC97" i="1"/>
  <c r="AF97" i="1"/>
  <c r="AG97" i="1"/>
  <c r="AH97" i="1"/>
  <c r="AJ97" i="1"/>
  <c r="AL97" i="1"/>
  <c r="AO97" i="1"/>
  <c r="J97" i="1" s="1"/>
  <c r="AP97" i="1"/>
  <c r="AW97" i="1"/>
  <c r="AX97" i="1"/>
  <c r="BD97" i="1"/>
  <c r="BF97" i="1"/>
  <c r="BH97" i="1"/>
  <c r="AD97" i="1" s="1"/>
  <c r="BI97" i="1"/>
  <c r="AE97" i="1" s="1"/>
  <c r="BJ97" i="1"/>
  <c r="J98" i="1"/>
  <c r="K98" i="1"/>
  <c r="L98" i="1"/>
  <c r="Z98" i="1"/>
  <c r="AB98" i="1"/>
  <c r="AC98" i="1"/>
  <c r="AF98" i="1"/>
  <c r="AG98" i="1"/>
  <c r="AH98" i="1"/>
  <c r="AJ98" i="1"/>
  <c r="AK98" i="1"/>
  <c r="AL98" i="1"/>
  <c r="AO98" i="1"/>
  <c r="AP98" i="1"/>
  <c r="AX98" i="1" s="1"/>
  <c r="AV98" i="1" s="1"/>
  <c r="AW98" i="1"/>
  <c r="BD98" i="1"/>
  <c r="BF98" i="1"/>
  <c r="BH98" i="1"/>
  <c r="AD98" i="1" s="1"/>
  <c r="BI98" i="1"/>
  <c r="AE98" i="1" s="1"/>
  <c r="BJ98" i="1"/>
  <c r="J99" i="1"/>
  <c r="L99" i="1"/>
  <c r="Z99" i="1"/>
  <c r="AB99" i="1"/>
  <c r="AC99" i="1"/>
  <c r="AF99" i="1"/>
  <c r="AG99" i="1"/>
  <c r="AH99" i="1"/>
  <c r="AJ99" i="1"/>
  <c r="AK99" i="1"/>
  <c r="AL99" i="1"/>
  <c r="AO99" i="1"/>
  <c r="AW99" i="1" s="1"/>
  <c r="AP99" i="1"/>
  <c r="BD99" i="1"/>
  <c r="BF99" i="1"/>
  <c r="BH99" i="1"/>
  <c r="AD99" i="1" s="1"/>
  <c r="BI99" i="1"/>
  <c r="AE99" i="1" s="1"/>
  <c r="BJ99" i="1"/>
  <c r="L100" i="1"/>
  <c r="AK100" i="1" s="1"/>
  <c r="Z100" i="1"/>
  <c r="AB100" i="1"/>
  <c r="AC100" i="1"/>
  <c r="AF100" i="1"/>
  <c r="AG100" i="1"/>
  <c r="AH100" i="1"/>
  <c r="AJ100" i="1"/>
  <c r="AL100" i="1"/>
  <c r="AO100" i="1"/>
  <c r="AP100" i="1"/>
  <c r="K100" i="1" s="1"/>
  <c r="AX100" i="1"/>
  <c r="BD100" i="1"/>
  <c r="BF100" i="1"/>
  <c r="BI100" i="1"/>
  <c r="AE100" i="1" s="1"/>
  <c r="BJ100" i="1"/>
  <c r="K101" i="1"/>
  <c r="L101" i="1"/>
  <c r="AK101" i="1" s="1"/>
  <c r="Z101" i="1"/>
  <c r="AB101" i="1"/>
  <c r="AC101" i="1"/>
  <c r="AF101" i="1"/>
  <c r="AG101" i="1"/>
  <c r="AH101" i="1"/>
  <c r="AJ101" i="1"/>
  <c r="AL101" i="1"/>
  <c r="AO101" i="1"/>
  <c r="AP101" i="1"/>
  <c r="AX101" i="1"/>
  <c r="BD101" i="1"/>
  <c r="BF101" i="1"/>
  <c r="BI101" i="1"/>
  <c r="AE101" i="1" s="1"/>
  <c r="BJ101" i="1"/>
  <c r="J102" i="1"/>
  <c r="K102" i="1"/>
  <c r="L102" i="1"/>
  <c r="Z102" i="1"/>
  <c r="AB102" i="1"/>
  <c r="AC102" i="1"/>
  <c r="AF102" i="1"/>
  <c r="AG102" i="1"/>
  <c r="AH102" i="1"/>
  <c r="AJ102" i="1"/>
  <c r="AK102" i="1"/>
  <c r="AL102" i="1"/>
  <c r="AO102" i="1"/>
  <c r="AP102" i="1"/>
  <c r="AX102" i="1" s="1"/>
  <c r="AW102" i="1"/>
  <c r="BD102" i="1"/>
  <c r="BF102" i="1"/>
  <c r="BH102" i="1"/>
  <c r="AD102" i="1" s="1"/>
  <c r="BI102" i="1"/>
  <c r="AE102" i="1" s="1"/>
  <c r="BJ102" i="1"/>
  <c r="J103" i="1"/>
  <c r="L103" i="1"/>
  <c r="Z103" i="1"/>
  <c r="AB103" i="1"/>
  <c r="AC103" i="1"/>
  <c r="AF103" i="1"/>
  <c r="AG103" i="1"/>
  <c r="AH103" i="1"/>
  <c r="AJ103" i="1"/>
  <c r="AK103" i="1"/>
  <c r="AL103" i="1"/>
  <c r="AO103" i="1"/>
  <c r="AW103" i="1" s="1"/>
  <c r="AP103" i="1"/>
  <c r="BD103" i="1"/>
  <c r="BF103" i="1"/>
  <c r="BH103" i="1"/>
  <c r="AD103" i="1" s="1"/>
  <c r="BJ103" i="1"/>
  <c r="L104" i="1"/>
  <c r="AK104" i="1" s="1"/>
  <c r="Z104" i="1"/>
  <c r="AB104" i="1"/>
  <c r="AC104" i="1"/>
  <c r="AF104" i="1"/>
  <c r="AG104" i="1"/>
  <c r="AH104" i="1"/>
  <c r="AJ104" i="1"/>
  <c r="AL104" i="1"/>
  <c r="AO104" i="1"/>
  <c r="AP104" i="1"/>
  <c r="AX104" i="1"/>
  <c r="BD104" i="1"/>
  <c r="BF104" i="1"/>
  <c r="BH104" i="1"/>
  <c r="AD104" i="1" s="1"/>
  <c r="BJ104" i="1"/>
  <c r="K105" i="1"/>
  <c r="L105" i="1"/>
  <c r="AK105" i="1" s="1"/>
  <c r="Z105" i="1"/>
  <c r="AB105" i="1"/>
  <c r="AC105" i="1"/>
  <c r="AF105" i="1"/>
  <c r="AG105" i="1"/>
  <c r="AH105" i="1"/>
  <c r="AJ105" i="1"/>
  <c r="AL105" i="1"/>
  <c r="AO105" i="1"/>
  <c r="J105" i="1" s="1"/>
  <c r="AP105" i="1"/>
  <c r="AW105" i="1"/>
  <c r="AX105" i="1"/>
  <c r="BD105" i="1"/>
  <c r="BF105" i="1"/>
  <c r="BH105" i="1"/>
  <c r="AD105" i="1" s="1"/>
  <c r="BI105" i="1"/>
  <c r="AE105" i="1" s="1"/>
  <c r="BJ105" i="1"/>
  <c r="J106" i="1"/>
  <c r="K106" i="1"/>
  <c r="L106" i="1"/>
  <c r="Z106" i="1"/>
  <c r="AB106" i="1"/>
  <c r="AC106" i="1"/>
  <c r="AF106" i="1"/>
  <c r="AG106" i="1"/>
  <c r="AH106" i="1"/>
  <c r="AJ106" i="1"/>
  <c r="AK106" i="1"/>
  <c r="AL106" i="1"/>
  <c r="AO106" i="1"/>
  <c r="AP106" i="1"/>
  <c r="AX106" i="1" s="1"/>
  <c r="AW106" i="1"/>
  <c r="BD106" i="1"/>
  <c r="BF106" i="1"/>
  <c r="BH106" i="1"/>
  <c r="AD106" i="1" s="1"/>
  <c r="BI106" i="1"/>
  <c r="AE106" i="1" s="1"/>
  <c r="BJ106" i="1"/>
  <c r="J107" i="1"/>
  <c r="L107" i="1"/>
  <c r="Z107" i="1"/>
  <c r="AB107" i="1"/>
  <c r="AC107" i="1"/>
  <c r="AF107" i="1"/>
  <c r="AG107" i="1"/>
  <c r="AH107" i="1"/>
  <c r="AJ107" i="1"/>
  <c r="AK107" i="1"/>
  <c r="AL107" i="1"/>
  <c r="AO107" i="1"/>
  <c r="AW107" i="1" s="1"/>
  <c r="AP107" i="1"/>
  <c r="BD107" i="1"/>
  <c r="BF107" i="1"/>
  <c r="BH107" i="1"/>
  <c r="AD107" i="1" s="1"/>
  <c r="BI107" i="1"/>
  <c r="AE107" i="1" s="1"/>
  <c r="BJ107" i="1"/>
  <c r="L108" i="1"/>
  <c r="AK108" i="1" s="1"/>
  <c r="Z108" i="1"/>
  <c r="AB108" i="1"/>
  <c r="AC108" i="1"/>
  <c r="AF108" i="1"/>
  <c r="AG108" i="1"/>
  <c r="AH108" i="1"/>
  <c r="AJ108" i="1"/>
  <c r="AL108" i="1"/>
  <c r="AO108" i="1"/>
  <c r="AP108" i="1"/>
  <c r="K108" i="1" s="1"/>
  <c r="AX108" i="1"/>
  <c r="BD108" i="1"/>
  <c r="BF108" i="1"/>
  <c r="BI108" i="1"/>
  <c r="AE108" i="1" s="1"/>
  <c r="BJ108" i="1"/>
  <c r="K109" i="1"/>
  <c r="L109" i="1"/>
  <c r="AK109" i="1" s="1"/>
  <c r="Z109" i="1"/>
  <c r="AB109" i="1"/>
  <c r="AC109" i="1"/>
  <c r="AF109" i="1"/>
  <c r="AG109" i="1"/>
  <c r="AH109" i="1"/>
  <c r="AJ109" i="1"/>
  <c r="AL109" i="1"/>
  <c r="AO109" i="1"/>
  <c r="AP109" i="1"/>
  <c r="AX109" i="1"/>
  <c r="BD109" i="1"/>
  <c r="BF109" i="1"/>
  <c r="BI109" i="1"/>
  <c r="AE109" i="1" s="1"/>
  <c r="BJ109" i="1"/>
  <c r="J110" i="1"/>
  <c r="K110" i="1"/>
  <c r="L110" i="1"/>
  <c r="Z110" i="1"/>
  <c r="AB110" i="1"/>
  <c r="AC110" i="1"/>
  <c r="AF110" i="1"/>
  <c r="AG110" i="1"/>
  <c r="AH110" i="1"/>
  <c r="AJ110" i="1"/>
  <c r="AK110" i="1"/>
  <c r="AL110" i="1"/>
  <c r="AO110" i="1"/>
  <c r="AP110" i="1"/>
  <c r="AX110" i="1" s="1"/>
  <c r="AV110" i="1"/>
  <c r="AW110" i="1"/>
  <c r="BC110" i="1" s="1"/>
  <c r="BD110" i="1"/>
  <c r="BF110" i="1"/>
  <c r="BH110" i="1"/>
  <c r="AD110" i="1" s="1"/>
  <c r="BI110" i="1"/>
  <c r="AE110" i="1" s="1"/>
  <c r="BJ110" i="1"/>
  <c r="J111" i="1"/>
  <c r="L111" i="1"/>
  <c r="Z111" i="1"/>
  <c r="AB111" i="1"/>
  <c r="AC111" i="1"/>
  <c r="AF111" i="1"/>
  <c r="AG111" i="1"/>
  <c r="AH111" i="1"/>
  <c r="AJ111" i="1"/>
  <c r="AK111" i="1"/>
  <c r="AL111" i="1"/>
  <c r="AO111" i="1"/>
  <c r="AW111" i="1" s="1"/>
  <c r="AP111" i="1"/>
  <c r="BD111" i="1"/>
  <c r="BF111" i="1"/>
  <c r="BH111" i="1"/>
  <c r="AD111" i="1" s="1"/>
  <c r="BJ111" i="1"/>
  <c r="L112" i="1"/>
  <c r="AK112" i="1" s="1"/>
  <c r="Z112" i="1"/>
  <c r="AB112" i="1"/>
  <c r="AC112" i="1"/>
  <c r="AD112" i="1"/>
  <c r="AF112" i="1"/>
  <c r="AG112" i="1"/>
  <c r="AH112" i="1"/>
  <c r="AJ112" i="1"/>
  <c r="AL112" i="1"/>
  <c r="AO112" i="1"/>
  <c r="AP112" i="1"/>
  <c r="BD112" i="1"/>
  <c r="BF112" i="1"/>
  <c r="BH112" i="1"/>
  <c r="BJ112" i="1"/>
  <c r="K113" i="1"/>
  <c r="L113" i="1"/>
  <c r="AK113" i="1" s="1"/>
  <c r="AB113" i="1"/>
  <c r="AC113" i="1"/>
  <c r="AD113" i="1"/>
  <c r="AE113" i="1"/>
  <c r="AF113" i="1"/>
  <c r="AG113" i="1"/>
  <c r="AH113" i="1"/>
  <c r="AJ113" i="1"/>
  <c r="AL113" i="1"/>
  <c r="AO113" i="1"/>
  <c r="AP113" i="1"/>
  <c r="AX113" i="1"/>
  <c r="BD113" i="1"/>
  <c r="BF113" i="1"/>
  <c r="BI113" i="1"/>
  <c r="BJ113" i="1"/>
  <c r="Z113" i="1" s="1"/>
  <c r="L115" i="1"/>
  <c r="Z115" i="1"/>
  <c r="AB115" i="1"/>
  <c r="AC115" i="1"/>
  <c r="AF115" i="1"/>
  <c r="AG115" i="1"/>
  <c r="AH115" i="1"/>
  <c r="AJ115" i="1"/>
  <c r="AS114" i="1" s="1"/>
  <c r="AL115" i="1"/>
  <c r="AU114" i="1" s="1"/>
  <c r="AO115" i="1"/>
  <c r="J115" i="1" s="1"/>
  <c r="AP115" i="1"/>
  <c r="AW115" i="1"/>
  <c r="BD115" i="1"/>
  <c r="BF115" i="1"/>
  <c r="BJ115" i="1"/>
  <c r="J116" i="1"/>
  <c r="K116" i="1"/>
  <c r="L116" i="1"/>
  <c r="Z116" i="1"/>
  <c r="AB116" i="1"/>
  <c r="AC116" i="1"/>
  <c r="AF116" i="1"/>
  <c r="AG116" i="1"/>
  <c r="AH116" i="1"/>
  <c r="AJ116" i="1"/>
  <c r="AK116" i="1"/>
  <c r="AL116" i="1"/>
  <c r="AO116" i="1"/>
  <c r="AP116" i="1"/>
  <c r="AW116" i="1"/>
  <c r="AX116" i="1"/>
  <c r="BD116" i="1"/>
  <c r="BF116" i="1"/>
  <c r="BH116" i="1"/>
  <c r="AD116" i="1" s="1"/>
  <c r="BI116" i="1"/>
  <c r="AE116" i="1" s="1"/>
  <c r="BJ116" i="1"/>
  <c r="J118" i="1"/>
  <c r="K118" i="1"/>
  <c r="L118" i="1"/>
  <c r="Z118" i="1"/>
  <c r="AB118" i="1"/>
  <c r="AC118" i="1"/>
  <c r="AF118" i="1"/>
  <c r="AG118" i="1"/>
  <c r="AH118" i="1"/>
  <c r="AJ118" i="1"/>
  <c r="AK118" i="1"/>
  <c r="AL118" i="1"/>
  <c r="AO118" i="1"/>
  <c r="AP118" i="1"/>
  <c r="AX118" i="1" s="1"/>
  <c r="AW118" i="1"/>
  <c r="AV118" i="1" s="1"/>
  <c r="BC118" i="1"/>
  <c r="BD118" i="1"/>
  <c r="BF118" i="1"/>
  <c r="BH118" i="1"/>
  <c r="AD118" i="1" s="1"/>
  <c r="BI118" i="1"/>
  <c r="AE118" i="1" s="1"/>
  <c r="BJ118" i="1"/>
  <c r="L119" i="1"/>
  <c r="AK119" i="1" s="1"/>
  <c r="AB119" i="1"/>
  <c r="AC119" i="1"/>
  <c r="AD119" i="1"/>
  <c r="AE119" i="1"/>
  <c r="AF119" i="1"/>
  <c r="AG119" i="1"/>
  <c r="AH119" i="1"/>
  <c r="AJ119" i="1"/>
  <c r="AL119" i="1"/>
  <c r="AO119" i="1"/>
  <c r="AP119" i="1"/>
  <c r="BD119" i="1"/>
  <c r="BF119" i="1"/>
  <c r="BI119" i="1"/>
  <c r="BJ119" i="1"/>
  <c r="Z119" i="1" s="1"/>
  <c r="L121" i="1"/>
  <c r="Z121" i="1"/>
  <c r="AB121" i="1"/>
  <c r="AC121" i="1"/>
  <c r="AF121" i="1"/>
  <c r="AG121" i="1"/>
  <c r="AH121" i="1"/>
  <c r="AJ121" i="1"/>
  <c r="AS120" i="1" s="1"/>
  <c r="AK121" i="1"/>
  <c r="AL121" i="1"/>
  <c r="AO121" i="1"/>
  <c r="J121" i="1" s="1"/>
  <c r="AP121" i="1"/>
  <c r="AW121" i="1"/>
  <c r="BD121" i="1"/>
  <c r="BF121" i="1"/>
  <c r="BH121" i="1"/>
  <c r="AD121" i="1" s="1"/>
  <c r="BJ121" i="1"/>
  <c r="L122" i="1"/>
  <c r="Z122" i="1"/>
  <c r="AB122" i="1"/>
  <c r="AC122" i="1"/>
  <c r="AF122" i="1"/>
  <c r="AG122" i="1"/>
  <c r="AH122" i="1"/>
  <c r="AJ122" i="1"/>
  <c r="AL122" i="1"/>
  <c r="AO122" i="1"/>
  <c r="AP122" i="1"/>
  <c r="AX122" i="1"/>
  <c r="BD122" i="1"/>
  <c r="BF122" i="1"/>
  <c r="BH122" i="1"/>
  <c r="AD122" i="1" s="1"/>
  <c r="BJ122" i="1"/>
  <c r="K123" i="1"/>
  <c r="L123" i="1"/>
  <c r="AK123" i="1" s="1"/>
  <c r="AB123" i="1"/>
  <c r="AC123" i="1"/>
  <c r="AD123" i="1"/>
  <c r="AE123" i="1"/>
  <c r="AF123" i="1"/>
  <c r="AG123" i="1"/>
  <c r="AH123" i="1"/>
  <c r="AJ123" i="1"/>
  <c r="AL123" i="1"/>
  <c r="AU120" i="1" s="1"/>
  <c r="AO123" i="1"/>
  <c r="AP123" i="1"/>
  <c r="AX123" i="1"/>
  <c r="BD123" i="1"/>
  <c r="BF123" i="1"/>
  <c r="BI123" i="1"/>
  <c r="BJ123" i="1"/>
  <c r="Z123" i="1" s="1"/>
  <c r="AU124" i="1"/>
  <c r="L125" i="1"/>
  <c r="Z125" i="1"/>
  <c r="AB125" i="1"/>
  <c r="AC125" i="1"/>
  <c r="AF125" i="1"/>
  <c r="AG125" i="1"/>
  <c r="AH125" i="1"/>
  <c r="AJ125" i="1"/>
  <c r="AS124" i="1" s="1"/>
  <c r="AL125" i="1"/>
  <c r="AO125" i="1"/>
  <c r="AP125" i="1"/>
  <c r="BD125" i="1"/>
  <c r="BF125" i="1"/>
  <c r="BH125" i="1"/>
  <c r="AD125" i="1" s="1"/>
  <c r="BJ125" i="1"/>
  <c r="K126" i="1"/>
  <c r="L126" i="1"/>
  <c r="AK126" i="1" s="1"/>
  <c r="AB126" i="1"/>
  <c r="AC126" i="1"/>
  <c r="AD126" i="1"/>
  <c r="AE126" i="1"/>
  <c r="AF126" i="1"/>
  <c r="AG126" i="1"/>
  <c r="AH126" i="1"/>
  <c r="AJ126" i="1"/>
  <c r="AL126" i="1"/>
  <c r="AO126" i="1"/>
  <c r="J126" i="1" s="1"/>
  <c r="AP126" i="1"/>
  <c r="AW126" i="1"/>
  <c r="AX126" i="1"/>
  <c r="BD126" i="1"/>
  <c r="BF126" i="1"/>
  <c r="BH126" i="1"/>
  <c r="BI126" i="1"/>
  <c r="BJ126" i="1"/>
  <c r="Z126" i="1" s="1"/>
  <c r="AU127" i="1"/>
  <c r="L128" i="1"/>
  <c r="Z128" i="1"/>
  <c r="AB128" i="1"/>
  <c r="AC128" i="1"/>
  <c r="AF128" i="1"/>
  <c r="AG128" i="1"/>
  <c r="AH128" i="1"/>
  <c r="AJ128" i="1"/>
  <c r="AS127" i="1" s="1"/>
  <c r="AL128" i="1"/>
  <c r="AO128" i="1"/>
  <c r="AP128" i="1"/>
  <c r="AX128" i="1" s="1"/>
  <c r="BD128" i="1"/>
  <c r="BF128" i="1"/>
  <c r="BJ128" i="1"/>
  <c r="K130" i="1"/>
  <c r="L130" i="1"/>
  <c r="AK130" i="1" s="1"/>
  <c r="Z130" i="1"/>
  <c r="AB130" i="1"/>
  <c r="AC130" i="1"/>
  <c r="AF130" i="1"/>
  <c r="AG130" i="1"/>
  <c r="AH130" i="1"/>
  <c r="AJ130" i="1"/>
  <c r="AL130" i="1"/>
  <c r="AO130" i="1"/>
  <c r="J130" i="1" s="1"/>
  <c r="AP130" i="1"/>
  <c r="AW130" i="1"/>
  <c r="AX130" i="1"/>
  <c r="BD130" i="1"/>
  <c r="BF130" i="1"/>
  <c r="BH130" i="1"/>
  <c r="AD130" i="1" s="1"/>
  <c r="BI130" i="1"/>
  <c r="AE130" i="1" s="1"/>
  <c r="BJ130" i="1"/>
  <c r="J132" i="1"/>
  <c r="K132" i="1"/>
  <c r="L132" i="1"/>
  <c r="AB132" i="1"/>
  <c r="AC132" i="1"/>
  <c r="AD132" i="1"/>
  <c r="AE132" i="1"/>
  <c r="AF132" i="1"/>
  <c r="AG132" i="1"/>
  <c r="AH132" i="1"/>
  <c r="AJ132" i="1"/>
  <c r="AK132" i="1"/>
  <c r="AL132" i="1"/>
  <c r="AO132" i="1"/>
  <c r="AP132" i="1"/>
  <c r="AW132" i="1"/>
  <c r="BC132" i="1" s="1"/>
  <c r="AX132" i="1"/>
  <c r="BD132" i="1"/>
  <c r="BF132" i="1"/>
  <c r="BH132" i="1"/>
  <c r="BI132" i="1"/>
  <c r="BJ132" i="1"/>
  <c r="Z132" i="1" s="1"/>
  <c r="K134" i="1"/>
  <c r="L134" i="1"/>
  <c r="Z134" i="1"/>
  <c r="AB134" i="1"/>
  <c r="AC134" i="1"/>
  <c r="AF134" i="1"/>
  <c r="AG134" i="1"/>
  <c r="AH134" i="1"/>
  <c r="AJ134" i="1"/>
  <c r="AL134" i="1"/>
  <c r="AO134" i="1"/>
  <c r="AP134" i="1"/>
  <c r="AX134" i="1"/>
  <c r="BD134" i="1"/>
  <c r="BF134" i="1"/>
  <c r="BI134" i="1"/>
  <c r="AE134" i="1" s="1"/>
  <c r="BJ134" i="1"/>
  <c r="J136" i="1"/>
  <c r="K136" i="1"/>
  <c r="L136" i="1"/>
  <c r="Z136" i="1"/>
  <c r="AB136" i="1"/>
  <c r="AC136" i="1"/>
  <c r="AF136" i="1"/>
  <c r="AG136" i="1"/>
  <c r="AH136" i="1"/>
  <c r="AJ136" i="1"/>
  <c r="AK136" i="1"/>
  <c r="AL136" i="1"/>
  <c r="AO136" i="1"/>
  <c r="AP136" i="1"/>
  <c r="AW136" i="1"/>
  <c r="AX136" i="1"/>
  <c r="BD136" i="1"/>
  <c r="BF136" i="1"/>
  <c r="BH136" i="1"/>
  <c r="AD136" i="1" s="1"/>
  <c r="BI136" i="1"/>
  <c r="AE136" i="1" s="1"/>
  <c r="BJ136" i="1"/>
  <c r="J138" i="1"/>
  <c r="L138" i="1"/>
  <c r="Z138" i="1"/>
  <c r="AB138" i="1"/>
  <c r="AC138" i="1"/>
  <c r="AF138" i="1"/>
  <c r="AG138" i="1"/>
  <c r="AH138" i="1"/>
  <c r="AJ138" i="1"/>
  <c r="AS133" i="1" s="1"/>
  <c r="AK138" i="1"/>
  <c r="AL138" i="1"/>
  <c r="AO138" i="1"/>
  <c r="AP138" i="1"/>
  <c r="AW138" i="1"/>
  <c r="BD138" i="1"/>
  <c r="BF138" i="1"/>
  <c r="BH138" i="1"/>
  <c r="AD138" i="1" s="1"/>
  <c r="BJ138" i="1"/>
  <c r="L140" i="1"/>
  <c r="AK140" i="1" s="1"/>
  <c r="Z140" i="1"/>
  <c r="AB140" i="1"/>
  <c r="AC140" i="1"/>
  <c r="AD140" i="1"/>
  <c r="AE140" i="1"/>
  <c r="AF140" i="1"/>
  <c r="AG140" i="1"/>
  <c r="AH140" i="1"/>
  <c r="AJ140" i="1"/>
  <c r="AL140" i="1"/>
  <c r="AO140" i="1"/>
  <c r="AP140" i="1"/>
  <c r="K140" i="1" s="1"/>
  <c r="AX140" i="1"/>
  <c r="BD140" i="1"/>
  <c r="BF140" i="1"/>
  <c r="BI140" i="1"/>
  <c r="BJ140" i="1"/>
  <c r="L141" i="1"/>
  <c r="J142" i="1"/>
  <c r="L142" i="1"/>
  <c r="Z142" i="1"/>
  <c r="AB142" i="1"/>
  <c r="AC142" i="1"/>
  <c r="AF142" i="1"/>
  <c r="AG142" i="1"/>
  <c r="AH142" i="1"/>
  <c r="AJ142" i="1"/>
  <c r="AK142" i="1"/>
  <c r="AL142" i="1"/>
  <c r="AO142" i="1"/>
  <c r="AP142" i="1"/>
  <c r="AW142" i="1"/>
  <c r="BD142" i="1"/>
  <c r="BF142" i="1"/>
  <c r="BH142" i="1"/>
  <c r="AD142" i="1" s="1"/>
  <c r="BI142" i="1"/>
  <c r="AE142" i="1" s="1"/>
  <c r="BJ142" i="1"/>
  <c r="L143" i="1"/>
  <c r="AK143" i="1" s="1"/>
  <c r="Z143" i="1"/>
  <c r="AB143" i="1"/>
  <c r="AC143" i="1"/>
  <c r="AF143" i="1"/>
  <c r="AG143" i="1"/>
  <c r="AH143" i="1"/>
  <c r="AJ143" i="1"/>
  <c r="AL143" i="1"/>
  <c r="AO143" i="1"/>
  <c r="AP143" i="1"/>
  <c r="K143" i="1" s="1"/>
  <c r="AX143" i="1"/>
  <c r="BD143" i="1"/>
  <c r="BF143" i="1"/>
  <c r="BH143" i="1"/>
  <c r="AD143" i="1" s="1"/>
  <c r="BJ143" i="1"/>
  <c r="K144" i="1"/>
  <c r="L144" i="1"/>
  <c r="AK144" i="1" s="1"/>
  <c r="Z144" i="1"/>
  <c r="AB144" i="1"/>
  <c r="AC144" i="1"/>
  <c r="AF144" i="1"/>
  <c r="AG144" i="1"/>
  <c r="AH144" i="1"/>
  <c r="AJ144" i="1"/>
  <c r="AL144" i="1"/>
  <c r="AO144" i="1"/>
  <c r="J144" i="1" s="1"/>
  <c r="AP144" i="1"/>
  <c r="AW144" i="1"/>
  <c r="AX144" i="1"/>
  <c r="BD144" i="1"/>
  <c r="BF144" i="1"/>
  <c r="BH144" i="1"/>
  <c r="AD144" i="1" s="1"/>
  <c r="BI144" i="1"/>
  <c r="AE144" i="1" s="1"/>
  <c r="BJ144" i="1"/>
  <c r="J146" i="1"/>
  <c r="K146" i="1"/>
  <c r="L146" i="1"/>
  <c r="Z146" i="1"/>
  <c r="AB146" i="1"/>
  <c r="AC146" i="1"/>
  <c r="AF146" i="1"/>
  <c r="AG146" i="1"/>
  <c r="AH146" i="1"/>
  <c r="AJ146" i="1"/>
  <c r="AK146" i="1"/>
  <c r="AL146" i="1"/>
  <c r="AO146" i="1"/>
  <c r="AP146" i="1"/>
  <c r="AV146" i="1"/>
  <c r="AW146" i="1"/>
  <c r="BC146" i="1" s="1"/>
  <c r="AX146" i="1"/>
  <c r="BD146" i="1"/>
  <c r="BF146" i="1"/>
  <c r="BH146" i="1"/>
  <c r="AD146" i="1" s="1"/>
  <c r="BI146" i="1"/>
  <c r="AE146" i="1" s="1"/>
  <c r="BJ146" i="1"/>
  <c r="J147" i="1"/>
  <c r="L147" i="1"/>
  <c r="Z147" i="1"/>
  <c r="AB147" i="1"/>
  <c r="AC147" i="1"/>
  <c r="AF147" i="1"/>
  <c r="AG147" i="1"/>
  <c r="AH147" i="1"/>
  <c r="AJ147" i="1"/>
  <c r="AK147" i="1"/>
  <c r="AL147" i="1"/>
  <c r="AO147" i="1"/>
  <c r="AP147" i="1"/>
  <c r="AW147" i="1"/>
  <c r="BD147" i="1"/>
  <c r="BF147" i="1"/>
  <c r="BH147" i="1"/>
  <c r="AD147" i="1" s="1"/>
  <c r="BI147" i="1"/>
  <c r="AE147" i="1" s="1"/>
  <c r="BJ147" i="1"/>
  <c r="L148" i="1"/>
  <c r="AK148" i="1" s="1"/>
  <c r="Z148" i="1"/>
  <c r="AB148" i="1"/>
  <c r="AC148" i="1"/>
  <c r="AF148" i="1"/>
  <c r="AG148" i="1"/>
  <c r="AH148" i="1"/>
  <c r="AJ148" i="1"/>
  <c r="AL148" i="1"/>
  <c r="AO148" i="1"/>
  <c r="AP148" i="1"/>
  <c r="K148" i="1" s="1"/>
  <c r="AX148" i="1"/>
  <c r="BD148" i="1"/>
  <c r="BF148" i="1"/>
  <c r="BH148" i="1"/>
  <c r="AD148" i="1" s="1"/>
  <c r="BI148" i="1"/>
  <c r="AE148" i="1" s="1"/>
  <c r="BJ148" i="1"/>
  <c r="K149" i="1"/>
  <c r="L149" i="1"/>
  <c r="AK149" i="1" s="1"/>
  <c r="Z149" i="1"/>
  <c r="AB149" i="1"/>
  <c r="AC149" i="1"/>
  <c r="AF149" i="1"/>
  <c r="AG149" i="1"/>
  <c r="AH149" i="1"/>
  <c r="AJ149" i="1"/>
  <c r="AL149" i="1"/>
  <c r="AO149" i="1"/>
  <c r="J149" i="1" s="1"/>
  <c r="AP149" i="1"/>
  <c r="AW149" i="1"/>
  <c r="AX149" i="1"/>
  <c r="BD149" i="1"/>
  <c r="BF149" i="1"/>
  <c r="BH149" i="1"/>
  <c r="AD149" i="1" s="1"/>
  <c r="BI149" i="1"/>
  <c r="AE149" i="1" s="1"/>
  <c r="BJ149" i="1"/>
  <c r="J150" i="1"/>
  <c r="K150" i="1"/>
  <c r="L150" i="1"/>
  <c r="Z150" i="1"/>
  <c r="AB150" i="1"/>
  <c r="AC150" i="1"/>
  <c r="AF150" i="1"/>
  <c r="AG150" i="1"/>
  <c r="AH150" i="1"/>
  <c r="AJ150" i="1"/>
  <c r="AK150" i="1"/>
  <c r="AL150" i="1"/>
  <c r="AO150" i="1"/>
  <c r="AP150" i="1"/>
  <c r="AV150" i="1"/>
  <c r="AW150" i="1"/>
  <c r="BC150" i="1" s="1"/>
  <c r="AX150" i="1"/>
  <c r="BD150" i="1"/>
  <c r="BF150" i="1"/>
  <c r="BH150" i="1"/>
  <c r="AD150" i="1" s="1"/>
  <c r="BI150" i="1"/>
  <c r="AE150" i="1" s="1"/>
  <c r="BJ150" i="1"/>
  <c r="J151" i="1"/>
  <c r="L151" i="1"/>
  <c r="Z151" i="1"/>
  <c r="AB151" i="1"/>
  <c r="AC151" i="1"/>
  <c r="AF151" i="1"/>
  <c r="AG151" i="1"/>
  <c r="AH151" i="1"/>
  <c r="AJ151" i="1"/>
  <c r="AK151" i="1"/>
  <c r="AL151" i="1"/>
  <c r="AO151" i="1"/>
  <c r="AP151" i="1"/>
  <c r="AW151" i="1"/>
  <c r="BD151" i="1"/>
  <c r="BF151" i="1"/>
  <c r="BH151" i="1"/>
  <c r="AD151" i="1" s="1"/>
  <c r="BI151" i="1"/>
  <c r="AE151" i="1" s="1"/>
  <c r="BJ151" i="1"/>
  <c r="L152" i="1"/>
  <c r="AK152" i="1" s="1"/>
  <c r="Z152" i="1"/>
  <c r="AB152" i="1"/>
  <c r="AC152" i="1"/>
  <c r="AF152" i="1"/>
  <c r="AG152" i="1"/>
  <c r="AH152" i="1"/>
  <c r="AJ152" i="1"/>
  <c r="AL152" i="1"/>
  <c r="AO152" i="1"/>
  <c r="AP152" i="1"/>
  <c r="K152" i="1" s="1"/>
  <c r="AX152" i="1"/>
  <c r="BD152" i="1"/>
  <c r="BF152" i="1"/>
  <c r="BH152" i="1"/>
  <c r="AD152" i="1" s="1"/>
  <c r="BI152" i="1"/>
  <c r="AE152" i="1" s="1"/>
  <c r="BJ152" i="1"/>
  <c r="L153" i="1"/>
  <c r="AK153" i="1" s="1"/>
  <c r="Z153" i="1"/>
  <c r="AB153" i="1"/>
  <c r="AC153" i="1"/>
  <c r="AF153" i="1"/>
  <c r="AG153" i="1"/>
  <c r="AH153" i="1"/>
  <c r="AJ153" i="1"/>
  <c r="AL153" i="1"/>
  <c r="AO153" i="1"/>
  <c r="AP153" i="1"/>
  <c r="AX153" i="1" s="1"/>
  <c r="AW153" i="1"/>
  <c r="AV153" i="1" s="1"/>
  <c r="BC153" i="1"/>
  <c r="BD153" i="1"/>
  <c r="BF153" i="1"/>
  <c r="BI153" i="1"/>
  <c r="AE153" i="1" s="1"/>
  <c r="BJ153" i="1"/>
  <c r="J154" i="1"/>
  <c r="K154" i="1"/>
  <c r="L154" i="1"/>
  <c r="Z154" i="1"/>
  <c r="AB154" i="1"/>
  <c r="AC154" i="1"/>
  <c r="AD154" i="1"/>
  <c r="AF154" i="1"/>
  <c r="AG154" i="1"/>
  <c r="AH154" i="1"/>
  <c r="AJ154" i="1"/>
  <c r="AK154" i="1"/>
  <c r="AL154" i="1"/>
  <c r="AO154" i="1"/>
  <c r="AP154" i="1"/>
  <c r="AV154" i="1"/>
  <c r="AW154" i="1"/>
  <c r="BC154" i="1" s="1"/>
  <c r="AX154" i="1"/>
  <c r="BD154" i="1"/>
  <c r="BF154" i="1"/>
  <c r="BH154" i="1"/>
  <c r="BI154" i="1"/>
  <c r="AE154" i="1" s="1"/>
  <c r="BJ154" i="1"/>
  <c r="J155" i="1"/>
  <c r="K155" i="1"/>
  <c r="L155" i="1"/>
  <c r="Z155" i="1"/>
  <c r="AB155" i="1"/>
  <c r="AC155" i="1"/>
  <c r="AF155" i="1"/>
  <c r="AG155" i="1"/>
  <c r="AH155" i="1"/>
  <c r="AJ155" i="1"/>
  <c r="AK155" i="1"/>
  <c r="AL155" i="1"/>
  <c r="AO155" i="1"/>
  <c r="AP155" i="1"/>
  <c r="AX155" i="1" s="1"/>
  <c r="AW155" i="1"/>
  <c r="AV155" i="1" s="1"/>
  <c r="BC155" i="1"/>
  <c r="BD155" i="1"/>
  <c r="BF155" i="1"/>
  <c r="BH155" i="1"/>
  <c r="AD155" i="1" s="1"/>
  <c r="BI155" i="1"/>
  <c r="AE155" i="1" s="1"/>
  <c r="BJ155" i="1"/>
  <c r="L156" i="1"/>
  <c r="AK156" i="1" s="1"/>
  <c r="Z156" i="1"/>
  <c r="AB156" i="1"/>
  <c r="AC156" i="1"/>
  <c r="AF156" i="1"/>
  <c r="AG156" i="1"/>
  <c r="AH156" i="1"/>
  <c r="AJ156" i="1"/>
  <c r="AL156" i="1"/>
  <c r="AO156" i="1"/>
  <c r="AW156" i="1" s="1"/>
  <c r="AP156" i="1"/>
  <c r="K156" i="1" s="1"/>
  <c r="AX156" i="1"/>
  <c r="BD156" i="1"/>
  <c r="BF156" i="1"/>
  <c r="BH156" i="1"/>
  <c r="AD156" i="1" s="1"/>
  <c r="BJ156" i="1"/>
  <c r="L157" i="1"/>
  <c r="AK157" i="1" s="1"/>
  <c r="Z157" i="1"/>
  <c r="AB157" i="1"/>
  <c r="AC157" i="1"/>
  <c r="AF157" i="1"/>
  <c r="AG157" i="1"/>
  <c r="AH157" i="1"/>
  <c r="AJ157" i="1"/>
  <c r="AL157" i="1"/>
  <c r="AO157" i="1"/>
  <c r="J157" i="1" s="1"/>
  <c r="AP157" i="1"/>
  <c r="AW157" i="1"/>
  <c r="BD157" i="1"/>
  <c r="BF157" i="1"/>
  <c r="BH157" i="1"/>
  <c r="AD157" i="1" s="1"/>
  <c r="BJ157" i="1"/>
  <c r="K158" i="1"/>
  <c r="L158" i="1"/>
  <c r="Z158" i="1"/>
  <c r="AB158" i="1"/>
  <c r="AC158" i="1"/>
  <c r="AF158" i="1"/>
  <c r="AG158" i="1"/>
  <c r="AH158" i="1"/>
  <c r="AJ158" i="1"/>
  <c r="AK158" i="1"/>
  <c r="AL158" i="1"/>
  <c r="AO158" i="1"/>
  <c r="AW158" i="1" s="1"/>
  <c r="BC158" i="1" s="1"/>
  <c r="AP158" i="1"/>
  <c r="AV158" i="1"/>
  <c r="AX158" i="1"/>
  <c r="BD158" i="1"/>
  <c r="BF158" i="1"/>
  <c r="BI158" i="1"/>
  <c r="AE158" i="1" s="1"/>
  <c r="BJ158" i="1"/>
  <c r="J159" i="1"/>
  <c r="L159" i="1"/>
  <c r="Z159" i="1"/>
  <c r="AB159" i="1"/>
  <c r="AC159" i="1"/>
  <c r="AF159" i="1"/>
  <c r="AG159" i="1"/>
  <c r="AH159" i="1"/>
  <c r="AJ159" i="1"/>
  <c r="AK159" i="1"/>
  <c r="AL159" i="1"/>
  <c r="AO159" i="1"/>
  <c r="AP159" i="1"/>
  <c r="AX159" i="1" s="1"/>
  <c r="AW159" i="1"/>
  <c r="AV159" i="1" s="1"/>
  <c r="BC159" i="1"/>
  <c r="BD159" i="1"/>
  <c r="BF159" i="1"/>
  <c r="BH159" i="1"/>
  <c r="AD159" i="1" s="1"/>
  <c r="BI159" i="1"/>
  <c r="AE159" i="1" s="1"/>
  <c r="BJ159" i="1"/>
  <c r="L160" i="1"/>
  <c r="Z160" i="1"/>
  <c r="AB160" i="1"/>
  <c r="AC160" i="1"/>
  <c r="AF160" i="1"/>
  <c r="AG160" i="1"/>
  <c r="AH160" i="1"/>
  <c r="AJ160" i="1"/>
  <c r="AK160" i="1"/>
  <c r="AL160" i="1"/>
  <c r="AO160" i="1"/>
  <c r="AP160" i="1"/>
  <c r="BD160" i="1"/>
  <c r="BF160" i="1"/>
  <c r="BI160" i="1"/>
  <c r="AE160" i="1" s="1"/>
  <c r="BJ160" i="1"/>
  <c r="K161" i="1"/>
  <c r="L161" i="1"/>
  <c r="AK161" i="1" s="1"/>
  <c r="Z161" i="1"/>
  <c r="AB161" i="1"/>
  <c r="AC161" i="1"/>
  <c r="AE161" i="1"/>
  <c r="AF161" i="1"/>
  <c r="AG161" i="1"/>
  <c r="AH161" i="1"/>
  <c r="AJ161" i="1"/>
  <c r="AL161" i="1"/>
  <c r="AO161" i="1"/>
  <c r="J161" i="1" s="1"/>
  <c r="AP161" i="1"/>
  <c r="AW161" i="1"/>
  <c r="AX161" i="1"/>
  <c r="BD161" i="1"/>
  <c r="BF161" i="1"/>
  <c r="BH161" i="1"/>
  <c r="AD161" i="1" s="1"/>
  <c r="BI161" i="1"/>
  <c r="BJ161" i="1"/>
  <c r="K162" i="1"/>
  <c r="L162" i="1"/>
  <c r="AK162" i="1" s="1"/>
  <c r="Z162" i="1"/>
  <c r="AB162" i="1"/>
  <c r="AC162" i="1"/>
  <c r="AF162" i="1"/>
  <c r="AG162" i="1"/>
  <c r="AH162" i="1"/>
  <c r="AJ162" i="1"/>
  <c r="AL162" i="1"/>
  <c r="AO162" i="1"/>
  <c r="AW162" i="1" s="1"/>
  <c r="AP162" i="1"/>
  <c r="AX162" i="1"/>
  <c r="BD162" i="1"/>
  <c r="BF162" i="1"/>
  <c r="BI162" i="1"/>
  <c r="AE162" i="1" s="1"/>
  <c r="BJ162" i="1"/>
  <c r="J163" i="1"/>
  <c r="L163" i="1"/>
  <c r="Z163" i="1"/>
  <c r="AB163" i="1"/>
  <c r="AC163" i="1"/>
  <c r="AD163" i="1"/>
  <c r="AE163" i="1"/>
  <c r="AF163" i="1"/>
  <c r="AG163" i="1"/>
  <c r="AH163" i="1"/>
  <c r="AJ163" i="1"/>
  <c r="AK163" i="1"/>
  <c r="AL163" i="1"/>
  <c r="AO163" i="1"/>
  <c r="AP163" i="1"/>
  <c r="AX163" i="1" s="1"/>
  <c r="AW163" i="1"/>
  <c r="BD163" i="1"/>
  <c r="BF163" i="1"/>
  <c r="BH163" i="1"/>
  <c r="BJ163" i="1"/>
  <c r="AS164" i="1"/>
  <c r="K165" i="1"/>
  <c r="L165" i="1"/>
  <c r="L164" i="1" s="1"/>
  <c r="G27" i="2" s="1"/>
  <c r="I27" i="2" s="1"/>
  <c r="Z165" i="1"/>
  <c r="AB165" i="1"/>
  <c r="AC165" i="1"/>
  <c r="AF165" i="1"/>
  <c r="AG165" i="1"/>
  <c r="AH165" i="1"/>
  <c r="AJ165" i="1"/>
  <c r="AK165" i="1"/>
  <c r="AL165" i="1"/>
  <c r="AO165" i="1"/>
  <c r="AP165" i="1"/>
  <c r="AX165" i="1"/>
  <c r="BD165" i="1"/>
  <c r="BF165" i="1"/>
  <c r="BI165" i="1"/>
  <c r="AE165" i="1" s="1"/>
  <c r="BJ165" i="1"/>
  <c r="J166" i="1"/>
  <c r="L166" i="1"/>
  <c r="Z166" i="1"/>
  <c r="AB166" i="1"/>
  <c r="AC166" i="1"/>
  <c r="AF166" i="1"/>
  <c r="AG166" i="1"/>
  <c r="AH166" i="1"/>
  <c r="AJ166" i="1"/>
  <c r="AK166" i="1"/>
  <c r="AL166" i="1"/>
  <c r="AO166" i="1"/>
  <c r="AP166" i="1"/>
  <c r="AW166" i="1"/>
  <c r="BD166" i="1"/>
  <c r="BF166" i="1"/>
  <c r="BH166" i="1"/>
  <c r="AD166" i="1" s="1"/>
  <c r="BJ166" i="1"/>
  <c r="L167" i="1"/>
  <c r="AB167" i="1"/>
  <c r="AC167" i="1"/>
  <c r="AD167" i="1"/>
  <c r="AE167" i="1"/>
  <c r="AF167" i="1"/>
  <c r="AG167" i="1"/>
  <c r="AH167" i="1"/>
  <c r="AJ167" i="1"/>
  <c r="AK167" i="1"/>
  <c r="AL167" i="1"/>
  <c r="AO167" i="1"/>
  <c r="AW167" i="1" s="1"/>
  <c r="AP167" i="1"/>
  <c r="K167" i="1" s="1"/>
  <c r="AV167" i="1"/>
  <c r="AX167" i="1"/>
  <c r="BC167" i="1" s="1"/>
  <c r="BD167" i="1"/>
  <c r="BF167" i="1"/>
  <c r="BH167" i="1"/>
  <c r="BI167" i="1"/>
  <c r="BJ167" i="1"/>
  <c r="Z167" i="1" s="1"/>
  <c r="J169" i="1"/>
  <c r="K169" i="1"/>
  <c r="L169" i="1"/>
  <c r="Z169" i="1"/>
  <c r="AB169" i="1"/>
  <c r="AC169" i="1"/>
  <c r="AF169" i="1"/>
  <c r="AG169" i="1"/>
  <c r="AH169" i="1"/>
  <c r="AJ169" i="1"/>
  <c r="AS168" i="1" s="1"/>
  <c r="AK169" i="1"/>
  <c r="AL169" i="1"/>
  <c r="AO169" i="1"/>
  <c r="AP169" i="1"/>
  <c r="AX169" i="1" s="1"/>
  <c r="AW169" i="1"/>
  <c r="BC169" i="1"/>
  <c r="BD169" i="1"/>
  <c r="BF169" i="1"/>
  <c r="BH169" i="1"/>
  <c r="AD169" i="1" s="1"/>
  <c r="BI169" i="1"/>
  <c r="AE169" i="1" s="1"/>
  <c r="BJ169" i="1"/>
  <c r="L172" i="1"/>
  <c r="Z172" i="1"/>
  <c r="AB172" i="1"/>
  <c r="AC172" i="1"/>
  <c r="AF172" i="1"/>
  <c r="AG172" i="1"/>
  <c r="AH172" i="1"/>
  <c r="AJ172" i="1"/>
  <c r="AK172" i="1"/>
  <c r="AL172" i="1"/>
  <c r="AO172" i="1"/>
  <c r="AP172" i="1"/>
  <c r="BD172" i="1"/>
  <c r="BF172" i="1"/>
  <c r="BI172" i="1"/>
  <c r="AE172" i="1" s="1"/>
  <c r="BJ172" i="1"/>
  <c r="K175" i="1"/>
  <c r="L175" i="1"/>
  <c r="AK175" i="1" s="1"/>
  <c r="Z175" i="1"/>
  <c r="AB175" i="1"/>
  <c r="AC175" i="1"/>
  <c r="AF175" i="1"/>
  <c r="AG175" i="1"/>
  <c r="AH175" i="1"/>
  <c r="AJ175" i="1"/>
  <c r="AL175" i="1"/>
  <c r="AO175" i="1"/>
  <c r="AP175" i="1"/>
  <c r="AX175" i="1"/>
  <c r="BD175" i="1"/>
  <c r="BF175" i="1"/>
  <c r="BI175" i="1"/>
  <c r="AE175" i="1" s="1"/>
  <c r="BJ175" i="1"/>
  <c r="K178" i="1"/>
  <c r="L178" i="1"/>
  <c r="AK178" i="1" s="1"/>
  <c r="Z178" i="1"/>
  <c r="AB178" i="1"/>
  <c r="AC178" i="1"/>
  <c r="AF178" i="1"/>
  <c r="AG178" i="1"/>
  <c r="AH178" i="1"/>
  <c r="AJ178" i="1"/>
  <c r="AL178" i="1"/>
  <c r="AO178" i="1"/>
  <c r="J178" i="1" s="1"/>
  <c r="AP178" i="1"/>
  <c r="AW178" i="1"/>
  <c r="AX178" i="1"/>
  <c r="BD178" i="1"/>
  <c r="BF178" i="1"/>
  <c r="BH178" i="1"/>
  <c r="AD178" i="1" s="1"/>
  <c r="BI178" i="1"/>
  <c r="AE178" i="1" s="1"/>
  <c r="BJ178" i="1"/>
  <c r="J179" i="1"/>
  <c r="K179" i="1"/>
  <c r="L179" i="1"/>
  <c r="AB179" i="1"/>
  <c r="AC179" i="1"/>
  <c r="AD179" i="1"/>
  <c r="AE179" i="1"/>
  <c r="AF179" i="1"/>
  <c r="AG179" i="1"/>
  <c r="AH179" i="1"/>
  <c r="AJ179" i="1"/>
  <c r="AK179" i="1"/>
  <c r="AL179" i="1"/>
  <c r="AO179" i="1"/>
  <c r="AP179" i="1"/>
  <c r="AX179" i="1" s="1"/>
  <c r="AW179" i="1"/>
  <c r="AV179" i="1" s="1"/>
  <c r="BC179" i="1"/>
  <c r="BD179" i="1"/>
  <c r="BF179" i="1"/>
  <c r="BH179" i="1"/>
  <c r="BI179" i="1"/>
  <c r="BJ179" i="1"/>
  <c r="Z179" i="1" s="1"/>
  <c r="AS180" i="1"/>
  <c r="K181" i="1"/>
  <c r="L181" i="1"/>
  <c r="L180" i="1" s="1"/>
  <c r="Z181" i="1"/>
  <c r="AB181" i="1"/>
  <c r="AC181" i="1"/>
  <c r="AF181" i="1"/>
  <c r="AG181" i="1"/>
  <c r="AH181" i="1"/>
  <c r="AJ181" i="1"/>
  <c r="AK181" i="1"/>
  <c r="AL181" i="1"/>
  <c r="AO181" i="1"/>
  <c r="AP181" i="1"/>
  <c r="AX181" i="1"/>
  <c r="BD181" i="1"/>
  <c r="BF181" i="1"/>
  <c r="BI181" i="1"/>
  <c r="AE181" i="1" s="1"/>
  <c r="BJ181" i="1"/>
  <c r="J184" i="1"/>
  <c r="L184" i="1"/>
  <c r="Z184" i="1"/>
  <c r="AB184" i="1"/>
  <c r="AC184" i="1"/>
  <c r="AF184" i="1"/>
  <c r="AG184" i="1"/>
  <c r="AH184" i="1"/>
  <c r="AJ184" i="1"/>
  <c r="AK184" i="1"/>
  <c r="AL184" i="1"/>
  <c r="AO184" i="1"/>
  <c r="AP184" i="1"/>
  <c r="AW184" i="1"/>
  <c r="BD184" i="1"/>
  <c r="BF184" i="1"/>
  <c r="BH184" i="1"/>
  <c r="AD184" i="1" s="1"/>
  <c r="BJ184" i="1"/>
  <c r="L186" i="1"/>
  <c r="Z186" i="1"/>
  <c r="AB186" i="1"/>
  <c r="AC186" i="1"/>
  <c r="AF186" i="1"/>
  <c r="AG186" i="1"/>
  <c r="AH186" i="1"/>
  <c r="AJ186" i="1"/>
  <c r="AK186" i="1"/>
  <c r="AL186" i="1"/>
  <c r="AO186" i="1"/>
  <c r="AW186" i="1" s="1"/>
  <c r="AP186" i="1"/>
  <c r="K186" i="1" s="1"/>
  <c r="AX186" i="1"/>
  <c r="BD186" i="1"/>
  <c r="BF186" i="1"/>
  <c r="BH186" i="1"/>
  <c r="AD186" i="1" s="1"/>
  <c r="BI186" i="1"/>
  <c r="AE186" i="1" s="1"/>
  <c r="BJ186" i="1"/>
  <c r="L188" i="1"/>
  <c r="AK188" i="1" s="1"/>
  <c r="Z188" i="1"/>
  <c r="AB188" i="1"/>
  <c r="AC188" i="1"/>
  <c r="AF188" i="1"/>
  <c r="AG188" i="1"/>
  <c r="AH188" i="1"/>
  <c r="AJ188" i="1"/>
  <c r="AL188" i="1"/>
  <c r="AO188" i="1"/>
  <c r="AP188" i="1"/>
  <c r="BD188" i="1"/>
  <c r="BF188" i="1"/>
  <c r="BJ188" i="1"/>
  <c r="J193" i="1"/>
  <c r="K193" i="1"/>
  <c r="L193" i="1"/>
  <c r="AK193" i="1" s="1"/>
  <c r="AT180" i="1" s="1"/>
  <c r="Z193" i="1"/>
  <c r="AB193" i="1"/>
  <c r="AC193" i="1"/>
  <c r="AF193" i="1"/>
  <c r="AG193" i="1"/>
  <c r="AH193" i="1"/>
  <c r="AJ193" i="1"/>
  <c r="AL193" i="1"/>
  <c r="AO193" i="1"/>
  <c r="AP193" i="1"/>
  <c r="AW193" i="1"/>
  <c r="BC193" i="1" s="1"/>
  <c r="AX193" i="1"/>
  <c r="BD193" i="1"/>
  <c r="BF193" i="1"/>
  <c r="BH193" i="1"/>
  <c r="AD193" i="1" s="1"/>
  <c r="BI193" i="1"/>
  <c r="AE193" i="1" s="1"/>
  <c r="BJ193" i="1"/>
  <c r="J198" i="1"/>
  <c r="K198" i="1"/>
  <c r="L198" i="1"/>
  <c r="Z198" i="1"/>
  <c r="AB198" i="1"/>
  <c r="AC198" i="1"/>
  <c r="AF198" i="1"/>
  <c r="AG198" i="1"/>
  <c r="AH198" i="1"/>
  <c r="AJ198" i="1"/>
  <c r="AK198" i="1"/>
  <c r="AL198" i="1"/>
  <c r="AO198" i="1"/>
  <c r="AP198" i="1"/>
  <c r="AX198" i="1" s="1"/>
  <c r="AV198" i="1"/>
  <c r="AW198" i="1"/>
  <c r="BC198" i="1" s="1"/>
  <c r="BD198" i="1"/>
  <c r="BF198" i="1"/>
  <c r="BH198" i="1"/>
  <c r="AD198" i="1" s="1"/>
  <c r="BI198" i="1"/>
  <c r="AE198" i="1" s="1"/>
  <c r="BJ198" i="1"/>
  <c r="L203" i="1"/>
  <c r="AK203" i="1" s="1"/>
  <c r="AB203" i="1"/>
  <c r="AC203" i="1"/>
  <c r="AD203" i="1"/>
  <c r="AE203" i="1"/>
  <c r="AF203" i="1"/>
  <c r="AG203" i="1"/>
  <c r="AH203" i="1"/>
  <c r="AJ203" i="1"/>
  <c r="AL203" i="1"/>
  <c r="AO203" i="1"/>
  <c r="J203" i="1" s="1"/>
  <c r="AP203" i="1"/>
  <c r="K203" i="1" s="1"/>
  <c r="BD203" i="1"/>
  <c r="BF203" i="1"/>
  <c r="BI203" i="1"/>
  <c r="BJ203" i="1"/>
  <c r="Z203" i="1" s="1"/>
  <c r="J205" i="1"/>
  <c r="K205" i="1"/>
  <c r="L205" i="1"/>
  <c r="Z205" i="1"/>
  <c r="AB205" i="1"/>
  <c r="AC205" i="1"/>
  <c r="AF205" i="1"/>
  <c r="AG205" i="1"/>
  <c r="AH205" i="1"/>
  <c r="AJ205" i="1"/>
  <c r="AK205" i="1"/>
  <c r="AL205" i="1"/>
  <c r="AO205" i="1"/>
  <c r="AP205" i="1"/>
  <c r="AX205" i="1" s="1"/>
  <c r="AW205" i="1"/>
  <c r="BD205" i="1"/>
  <c r="BF205" i="1"/>
  <c r="BH205" i="1"/>
  <c r="AD205" i="1" s="1"/>
  <c r="BI205" i="1"/>
  <c r="AE205" i="1" s="1"/>
  <c r="BJ205" i="1"/>
  <c r="L208" i="1"/>
  <c r="Z208" i="1"/>
  <c r="AB208" i="1"/>
  <c r="AC208" i="1"/>
  <c r="AF208" i="1"/>
  <c r="AG208" i="1"/>
  <c r="AH208" i="1"/>
  <c r="AJ208" i="1"/>
  <c r="AL208" i="1"/>
  <c r="AO208" i="1"/>
  <c r="AP208" i="1"/>
  <c r="K208" i="1" s="1"/>
  <c r="AX208" i="1"/>
  <c r="BD208" i="1"/>
  <c r="BF208" i="1"/>
  <c r="BI208" i="1"/>
  <c r="AE208" i="1" s="1"/>
  <c r="BJ208" i="1"/>
  <c r="K211" i="1"/>
  <c r="L211" i="1"/>
  <c r="AK211" i="1" s="1"/>
  <c r="Z211" i="1"/>
  <c r="AB211" i="1"/>
  <c r="AC211" i="1"/>
  <c r="AF211" i="1"/>
  <c r="AG211" i="1"/>
  <c r="AH211" i="1"/>
  <c r="AJ211" i="1"/>
  <c r="AL211" i="1"/>
  <c r="AO211" i="1"/>
  <c r="AP211" i="1"/>
  <c r="AX211" i="1"/>
  <c r="BD211" i="1"/>
  <c r="BF211" i="1"/>
  <c r="BH211" i="1"/>
  <c r="AD211" i="1" s="1"/>
  <c r="BI211" i="1"/>
  <c r="AE211" i="1" s="1"/>
  <c r="BJ211" i="1"/>
  <c r="J213" i="1"/>
  <c r="K213" i="1"/>
  <c r="L213" i="1"/>
  <c r="Z213" i="1"/>
  <c r="AB213" i="1"/>
  <c r="AC213" i="1"/>
  <c r="AF213" i="1"/>
  <c r="AG213" i="1"/>
  <c r="AH213" i="1"/>
  <c r="AJ213" i="1"/>
  <c r="AK213" i="1"/>
  <c r="AL213" i="1"/>
  <c r="AO213" i="1"/>
  <c r="AP213" i="1"/>
  <c r="AW213" i="1"/>
  <c r="AX213" i="1"/>
  <c r="BD213" i="1"/>
  <c r="BF213" i="1"/>
  <c r="BH213" i="1"/>
  <c r="AD213" i="1" s="1"/>
  <c r="BI213" i="1"/>
  <c r="AE213" i="1" s="1"/>
  <c r="BJ213" i="1"/>
  <c r="J216" i="1"/>
  <c r="L216" i="1"/>
  <c r="Z216" i="1"/>
  <c r="AB216" i="1"/>
  <c r="AC216" i="1"/>
  <c r="AF216" i="1"/>
  <c r="AG216" i="1"/>
  <c r="AH216" i="1"/>
  <c r="AJ216" i="1"/>
  <c r="AK216" i="1"/>
  <c r="AL216" i="1"/>
  <c r="AO216" i="1"/>
  <c r="AP216" i="1"/>
  <c r="K216" i="1" s="1"/>
  <c r="AW216" i="1"/>
  <c r="BD216" i="1"/>
  <c r="BF216" i="1"/>
  <c r="BH216" i="1"/>
  <c r="AD216" i="1" s="1"/>
  <c r="BI216" i="1"/>
  <c r="AE216" i="1" s="1"/>
  <c r="BJ216" i="1"/>
  <c r="L219" i="1"/>
  <c r="AK219" i="1" s="1"/>
  <c r="Z219" i="1"/>
  <c r="AB219" i="1"/>
  <c r="AC219" i="1"/>
  <c r="AD219" i="1"/>
  <c r="AE219" i="1"/>
  <c r="AF219" i="1"/>
  <c r="AG219" i="1"/>
  <c r="AH219" i="1"/>
  <c r="AJ219" i="1"/>
  <c r="AL219" i="1"/>
  <c r="AO219" i="1"/>
  <c r="J219" i="1" s="1"/>
  <c r="AP219" i="1"/>
  <c r="BD219" i="1"/>
  <c r="BF219" i="1"/>
  <c r="BH219" i="1"/>
  <c r="BI219" i="1"/>
  <c r="BJ219" i="1"/>
  <c r="L220" i="1"/>
  <c r="G31" i="2" s="1"/>
  <c r="I31" i="2" s="1"/>
  <c r="AU220" i="1"/>
  <c r="J221" i="1"/>
  <c r="J220" i="1" s="1"/>
  <c r="L221" i="1"/>
  <c r="Z221" i="1"/>
  <c r="AB221" i="1"/>
  <c r="AC221" i="1"/>
  <c r="AF221" i="1"/>
  <c r="AG221" i="1"/>
  <c r="AH221" i="1"/>
  <c r="AJ221" i="1"/>
  <c r="AS220" i="1" s="1"/>
  <c r="AK221" i="1"/>
  <c r="AT220" i="1" s="1"/>
  <c r="AL221" i="1"/>
  <c r="AO221" i="1"/>
  <c r="AP221" i="1"/>
  <c r="K221" i="1" s="1"/>
  <c r="K220" i="1" s="1"/>
  <c r="AW221" i="1"/>
  <c r="BD221" i="1"/>
  <c r="BF221" i="1"/>
  <c r="BH221" i="1"/>
  <c r="AD221" i="1" s="1"/>
  <c r="BI221" i="1"/>
  <c r="AE221" i="1" s="1"/>
  <c r="BJ221" i="1"/>
  <c r="J224" i="1"/>
  <c r="J223" i="1" s="1"/>
  <c r="K224" i="1"/>
  <c r="L224" i="1"/>
  <c r="Z224" i="1"/>
  <c r="AB224" i="1"/>
  <c r="AC224" i="1"/>
  <c r="AF224" i="1"/>
  <c r="AG224" i="1"/>
  <c r="AH224" i="1"/>
  <c r="AJ224" i="1"/>
  <c r="AK224" i="1"/>
  <c r="AL224" i="1"/>
  <c r="AU223" i="1" s="1"/>
  <c r="AO224" i="1"/>
  <c r="AP224" i="1"/>
  <c r="AW224" i="1"/>
  <c r="AX224" i="1"/>
  <c r="BD224" i="1"/>
  <c r="BF224" i="1"/>
  <c r="BH224" i="1"/>
  <c r="AD224" i="1" s="1"/>
  <c r="BI224" i="1"/>
  <c r="AE224" i="1" s="1"/>
  <c r="BJ224" i="1"/>
  <c r="J231" i="1"/>
  <c r="L231" i="1"/>
  <c r="Z231" i="1"/>
  <c r="AB231" i="1"/>
  <c r="AC231" i="1"/>
  <c r="AF231" i="1"/>
  <c r="AG231" i="1"/>
  <c r="AH231" i="1"/>
  <c r="AJ231" i="1"/>
  <c r="AK231" i="1"/>
  <c r="AL231" i="1"/>
  <c r="AO231" i="1"/>
  <c r="AP231" i="1"/>
  <c r="K231" i="1" s="1"/>
  <c r="AW231" i="1"/>
  <c r="BD231" i="1"/>
  <c r="BF231" i="1"/>
  <c r="BH231" i="1"/>
  <c r="AD231" i="1" s="1"/>
  <c r="BI231" i="1"/>
  <c r="AE231" i="1" s="1"/>
  <c r="BJ231" i="1"/>
  <c r="L232" i="1"/>
  <c r="AK232" i="1" s="1"/>
  <c r="Z232" i="1"/>
  <c r="AB232" i="1"/>
  <c r="AC232" i="1"/>
  <c r="AF232" i="1"/>
  <c r="AG232" i="1"/>
  <c r="AH232" i="1"/>
  <c r="AJ232" i="1"/>
  <c r="AS223" i="1" s="1"/>
  <c r="AL232" i="1"/>
  <c r="AO232" i="1"/>
  <c r="J232" i="1" s="1"/>
  <c r="AP232" i="1"/>
  <c r="BD232" i="1"/>
  <c r="BF232" i="1"/>
  <c r="BH232" i="1"/>
  <c r="AD232" i="1" s="1"/>
  <c r="BJ232" i="1"/>
  <c r="L233" i="1"/>
  <c r="AU233" i="1"/>
  <c r="J234" i="1"/>
  <c r="J233" i="1" s="1"/>
  <c r="E33" i="2" s="1"/>
  <c r="L234" i="1"/>
  <c r="Z234" i="1"/>
  <c r="AB234" i="1"/>
  <c r="AC234" i="1"/>
  <c r="AF234" i="1"/>
  <c r="AG234" i="1"/>
  <c r="AH234" i="1"/>
  <c r="AJ234" i="1"/>
  <c r="AS233" i="1" s="1"/>
  <c r="AK234" i="1"/>
  <c r="AT233" i="1" s="1"/>
  <c r="AL234" i="1"/>
  <c r="AO234" i="1"/>
  <c r="AP234" i="1"/>
  <c r="K234" i="1" s="1"/>
  <c r="K233" i="1" s="1"/>
  <c r="AW234" i="1"/>
  <c r="BD234" i="1"/>
  <c r="BF234" i="1"/>
  <c r="BH234" i="1"/>
  <c r="AD234" i="1" s="1"/>
  <c r="BI234" i="1"/>
  <c r="AE234" i="1" s="1"/>
  <c r="BJ234" i="1"/>
  <c r="J237" i="1"/>
  <c r="K237" i="1"/>
  <c r="L237" i="1"/>
  <c r="Z237" i="1"/>
  <c r="AB237" i="1"/>
  <c r="AC237" i="1"/>
  <c r="AD237" i="1"/>
  <c r="AE237" i="1"/>
  <c r="AF237" i="1"/>
  <c r="AG237" i="1"/>
  <c r="AH237" i="1"/>
  <c r="AJ237" i="1"/>
  <c r="AK237" i="1"/>
  <c r="AL237" i="1"/>
  <c r="AU236" i="1" s="1"/>
  <c r="AO237" i="1"/>
  <c r="AP237" i="1"/>
  <c r="AW237" i="1"/>
  <c r="AX237" i="1"/>
  <c r="BD237" i="1"/>
  <c r="BF237" i="1"/>
  <c r="BH237" i="1"/>
  <c r="BI237" i="1"/>
  <c r="BJ237" i="1"/>
  <c r="J240" i="1"/>
  <c r="L240" i="1"/>
  <c r="Z240" i="1"/>
  <c r="AB240" i="1"/>
  <c r="AD240" i="1"/>
  <c r="AE240" i="1"/>
  <c r="AF240" i="1"/>
  <c r="AG240" i="1"/>
  <c r="AH240" i="1"/>
  <c r="AJ240" i="1"/>
  <c r="AK240" i="1"/>
  <c r="AL240" i="1"/>
  <c r="AO240" i="1"/>
  <c r="AP240" i="1"/>
  <c r="K240" i="1" s="1"/>
  <c r="AW240" i="1"/>
  <c r="BD240" i="1"/>
  <c r="BF240" i="1"/>
  <c r="BH240" i="1"/>
  <c r="BI240" i="1"/>
  <c r="AC240" i="1" s="1"/>
  <c r="BJ240" i="1"/>
  <c r="L242" i="1"/>
  <c r="AK242" i="1" s="1"/>
  <c r="Z242" i="1"/>
  <c r="AD242" i="1"/>
  <c r="AE242" i="1"/>
  <c r="AF242" i="1"/>
  <c r="AG242" i="1"/>
  <c r="AH242" i="1"/>
  <c r="AJ242" i="1"/>
  <c r="AS236" i="1" s="1"/>
  <c r="AL242" i="1"/>
  <c r="AO242" i="1"/>
  <c r="J242" i="1" s="1"/>
  <c r="AP242" i="1"/>
  <c r="BD242" i="1"/>
  <c r="BF242" i="1"/>
  <c r="BH242" i="1"/>
  <c r="AB242" i="1" s="1"/>
  <c r="BJ242" i="1"/>
  <c r="K243" i="1"/>
  <c r="L243" i="1"/>
  <c r="AK243" i="1" s="1"/>
  <c r="Z243" i="1"/>
  <c r="AC243" i="1"/>
  <c r="AD243" i="1"/>
  <c r="AE243" i="1"/>
  <c r="AF243" i="1"/>
  <c r="AG243" i="1"/>
  <c r="AH243" i="1"/>
  <c r="AJ243" i="1"/>
  <c r="AL243" i="1"/>
  <c r="AO243" i="1"/>
  <c r="AP243" i="1"/>
  <c r="AX243" i="1"/>
  <c r="BD243" i="1"/>
  <c r="BF243" i="1"/>
  <c r="BH243" i="1"/>
  <c r="AB243" i="1" s="1"/>
  <c r="BI243" i="1"/>
  <c r="BJ243" i="1"/>
  <c r="AU244" i="1"/>
  <c r="L245" i="1"/>
  <c r="L244" i="1" s="1"/>
  <c r="G35" i="2" s="1"/>
  <c r="I35" i="2" s="1"/>
  <c r="Z245" i="1"/>
  <c r="AB245" i="1"/>
  <c r="AC245" i="1"/>
  <c r="AD245" i="1"/>
  <c r="AE245" i="1"/>
  <c r="AH245" i="1"/>
  <c r="AJ245" i="1"/>
  <c r="AS244" i="1" s="1"/>
  <c r="AL245" i="1"/>
  <c r="AO245" i="1"/>
  <c r="J245" i="1" s="1"/>
  <c r="J244" i="1" s="1"/>
  <c r="AP245" i="1"/>
  <c r="BD245" i="1"/>
  <c r="BF245" i="1"/>
  <c r="BH245" i="1"/>
  <c r="AF245" i="1" s="1"/>
  <c r="BI245" i="1"/>
  <c r="AG245" i="1" s="1"/>
  <c r="BJ245" i="1"/>
  <c r="J247" i="1"/>
  <c r="L247" i="1"/>
  <c r="Z247" i="1"/>
  <c r="AB247" i="1"/>
  <c r="AD247" i="1"/>
  <c r="AE247" i="1"/>
  <c r="AF247" i="1"/>
  <c r="AG247" i="1"/>
  <c r="AH247" i="1"/>
  <c r="AJ247" i="1"/>
  <c r="AK247" i="1"/>
  <c r="AL247" i="1"/>
  <c r="AO247" i="1"/>
  <c r="AP247" i="1"/>
  <c r="K247" i="1" s="1"/>
  <c r="AW247" i="1"/>
  <c r="BD247" i="1"/>
  <c r="BF247" i="1"/>
  <c r="BH247" i="1"/>
  <c r="BI247" i="1"/>
  <c r="AC247" i="1" s="1"/>
  <c r="BJ247" i="1"/>
  <c r="L249" i="1"/>
  <c r="AK249" i="1" s="1"/>
  <c r="Z249" i="1"/>
  <c r="AD249" i="1"/>
  <c r="AE249" i="1"/>
  <c r="AF249" i="1"/>
  <c r="AG249" i="1"/>
  <c r="AH249" i="1"/>
  <c r="AJ249" i="1"/>
  <c r="AL249" i="1"/>
  <c r="AO249" i="1"/>
  <c r="J249" i="1" s="1"/>
  <c r="AP249" i="1"/>
  <c r="BD249" i="1"/>
  <c r="BF249" i="1"/>
  <c r="BH249" i="1"/>
  <c r="AB249" i="1" s="1"/>
  <c r="BI249" i="1"/>
  <c r="AC249" i="1" s="1"/>
  <c r="BJ249" i="1"/>
  <c r="K252" i="1"/>
  <c r="L252" i="1"/>
  <c r="AK252" i="1" s="1"/>
  <c r="Z252" i="1"/>
  <c r="AC252" i="1"/>
  <c r="AD252" i="1"/>
  <c r="AE252" i="1"/>
  <c r="AF252" i="1"/>
  <c r="AG252" i="1"/>
  <c r="AH252" i="1"/>
  <c r="AJ252" i="1"/>
  <c r="AL252" i="1"/>
  <c r="AO252" i="1"/>
  <c r="AP252" i="1"/>
  <c r="AX252" i="1"/>
  <c r="BD252" i="1"/>
  <c r="BF252" i="1"/>
  <c r="BH252" i="1"/>
  <c r="AB252" i="1" s="1"/>
  <c r="BI252" i="1"/>
  <c r="BJ252" i="1"/>
  <c r="J255" i="1"/>
  <c r="K255" i="1"/>
  <c r="L255" i="1"/>
  <c r="Z255" i="1"/>
  <c r="AB255" i="1"/>
  <c r="AC255" i="1"/>
  <c r="AD255" i="1"/>
  <c r="AE255" i="1"/>
  <c r="AF255" i="1"/>
  <c r="AG255" i="1"/>
  <c r="AH255" i="1"/>
  <c r="AJ255" i="1"/>
  <c r="AK255" i="1"/>
  <c r="AL255" i="1"/>
  <c r="AO255" i="1"/>
  <c r="AP255" i="1"/>
  <c r="AW255" i="1"/>
  <c r="AX255" i="1"/>
  <c r="BD255" i="1"/>
  <c r="BF255" i="1"/>
  <c r="BH255" i="1"/>
  <c r="BI255" i="1"/>
  <c r="BJ255" i="1"/>
  <c r="J257" i="1"/>
  <c r="L257" i="1"/>
  <c r="Z257" i="1"/>
  <c r="AB257" i="1"/>
  <c r="AD257" i="1"/>
  <c r="AE257" i="1"/>
  <c r="AF257" i="1"/>
  <c r="AG257" i="1"/>
  <c r="AH257" i="1"/>
  <c r="AJ257" i="1"/>
  <c r="AK257" i="1"/>
  <c r="AL257" i="1"/>
  <c r="AO257" i="1"/>
  <c r="AP257" i="1"/>
  <c r="K257" i="1" s="1"/>
  <c r="AW257" i="1"/>
  <c r="BD257" i="1"/>
  <c r="BF257" i="1"/>
  <c r="BH257" i="1"/>
  <c r="BI257" i="1"/>
  <c r="AC257" i="1" s="1"/>
  <c r="BJ257" i="1"/>
  <c r="L258" i="1"/>
  <c r="AK258" i="1" s="1"/>
  <c r="Z258" i="1"/>
  <c r="AD258" i="1"/>
  <c r="AE258" i="1"/>
  <c r="AF258" i="1"/>
  <c r="AG258" i="1"/>
  <c r="AH258" i="1"/>
  <c r="AJ258" i="1"/>
  <c r="AL258" i="1"/>
  <c r="AO258" i="1"/>
  <c r="J258" i="1" s="1"/>
  <c r="AP258" i="1"/>
  <c r="BD258" i="1"/>
  <c r="BF258" i="1"/>
  <c r="BH258" i="1"/>
  <c r="AB258" i="1" s="1"/>
  <c r="BI258" i="1"/>
  <c r="AC258" i="1" s="1"/>
  <c r="BJ258" i="1"/>
  <c r="K260" i="1"/>
  <c r="L260" i="1"/>
  <c r="AK260" i="1" s="1"/>
  <c r="Z260" i="1"/>
  <c r="AC260" i="1"/>
  <c r="AD260" i="1"/>
  <c r="AE260" i="1"/>
  <c r="AF260" i="1"/>
  <c r="AG260" i="1"/>
  <c r="AH260" i="1"/>
  <c r="AJ260" i="1"/>
  <c r="AL260" i="1"/>
  <c r="AO260" i="1"/>
  <c r="AP260" i="1"/>
  <c r="AX260" i="1"/>
  <c r="BD260" i="1"/>
  <c r="BF260" i="1"/>
  <c r="BH260" i="1"/>
  <c r="AB260" i="1" s="1"/>
  <c r="BI260" i="1"/>
  <c r="BJ260" i="1"/>
  <c r="J262" i="1"/>
  <c r="K262" i="1"/>
  <c r="L262" i="1"/>
  <c r="Z262" i="1"/>
  <c r="AB262" i="1"/>
  <c r="AC262" i="1"/>
  <c r="AD262" i="1"/>
  <c r="AE262" i="1"/>
  <c r="AF262" i="1"/>
  <c r="AG262" i="1"/>
  <c r="AH262" i="1"/>
  <c r="AJ262" i="1"/>
  <c r="AK262" i="1"/>
  <c r="AL262" i="1"/>
  <c r="AO262" i="1"/>
  <c r="AP262" i="1"/>
  <c r="AW262" i="1"/>
  <c r="AX262" i="1"/>
  <c r="BD262" i="1"/>
  <c r="BF262" i="1"/>
  <c r="BH262" i="1"/>
  <c r="BI262" i="1"/>
  <c r="BJ262" i="1"/>
  <c r="J264" i="1"/>
  <c r="L264" i="1"/>
  <c r="Z264" i="1"/>
  <c r="AB264" i="1"/>
  <c r="AD264" i="1"/>
  <c r="AE264" i="1"/>
  <c r="AF264" i="1"/>
  <c r="AG264" i="1"/>
  <c r="AH264" i="1"/>
  <c r="AJ264" i="1"/>
  <c r="AK264" i="1"/>
  <c r="AL264" i="1"/>
  <c r="AO264" i="1"/>
  <c r="AP264" i="1"/>
  <c r="K264" i="1" s="1"/>
  <c r="AW264" i="1"/>
  <c r="BD264" i="1"/>
  <c r="BF264" i="1"/>
  <c r="BH264" i="1"/>
  <c r="BI264" i="1"/>
  <c r="AC264" i="1" s="1"/>
  <c r="BJ264" i="1"/>
  <c r="L266" i="1"/>
  <c r="AK266" i="1" s="1"/>
  <c r="Z266" i="1"/>
  <c r="AD266" i="1"/>
  <c r="AE266" i="1"/>
  <c r="AF266" i="1"/>
  <c r="AG266" i="1"/>
  <c r="AH266" i="1"/>
  <c r="AJ266" i="1"/>
  <c r="AL266" i="1"/>
  <c r="AO266" i="1"/>
  <c r="J266" i="1" s="1"/>
  <c r="AP266" i="1"/>
  <c r="BD266" i="1"/>
  <c r="BF266" i="1"/>
  <c r="BH266" i="1"/>
  <c r="AB266" i="1" s="1"/>
  <c r="BI266" i="1"/>
  <c r="AC266" i="1" s="1"/>
  <c r="BJ266" i="1"/>
  <c r="K268" i="1"/>
  <c r="L268" i="1"/>
  <c r="AK268" i="1" s="1"/>
  <c r="Z268" i="1"/>
  <c r="AC268" i="1"/>
  <c r="AD268" i="1"/>
  <c r="AE268" i="1"/>
  <c r="AF268" i="1"/>
  <c r="AG268" i="1"/>
  <c r="AH268" i="1"/>
  <c r="AJ268" i="1"/>
  <c r="AL268" i="1"/>
  <c r="AO268" i="1"/>
  <c r="AP268" i="1"/>
  <c r="AX268" i="1"/>
  <c r="BD268" i="1"/>
  <c r="BF268" i="1"/>
  <c r="BH268" i="1"/>
  <c r="AB268" i="1" s="1"/>
  <c r="BI268" i="1"/>
  <c r="BJ268" i="1"/>
  <c r="J271" i="1"/>
  <c r="K271" i="1"/>
  <c r="L271" i="1"/>
  <c r="Z271" i="1"/>
  <c r="AB271" i="1"/>
  <c r="AC271" i="1"/>
  <c r="AD271" i="1"/>
  <c r="AE271" i="1"/>
  <c r="AF271" i="1"/>
  <c r="AG271" i="1"/>
  <c r="AH271" i="1"/>
  <c r="AJ271" i="1"/>
  <c r="AK271" i="1"/>
  <c r="AL271" i="1"/>
  <c r="AO271" i="1"/>
  <c r="AP271" i="1"/>
  <c r="AW271" i="1"/>
  <c r="AX271" i="1"/>
  <c r="BD271" i="1"/>
  <c r="BF271" i="1"/>
  <c r="BH271" i="1"/>
  <c r="BI271" i="1"/>
  <c r="BJ271" i="1"/>
  <c r="J274" i="1"/>
  <c r="L274" i="1"/>
  <c r="Z274" i="1"/>
  <c r="AB274" i="1"/>
  <c r="AD274" i="1"/>
  <c r="AE274" i="1"/>
  <c r="AF274" i="1"/>
  <c r="AG274" i="1"/>
  <c r="AH274" i="1"/>
  <c r="AJ274" i="1"/>
  <c r="AK274" i="1"/>
  <c r="AL274" i="1"/>
  <c r="AO274" i="1"/>
  <c r="AP274" i="1"/>
  <c r="K274" i="1" s="1"/>
  <c r="AW274" i="1"/>
  <c r="BD274" i="1"/>
  <c r="BF274" i="1"/>
  <c r="BH274" i="1"/>
  <c r="BI274" i="1"/>
  <c r="AC274" i="1" s="1"/>
  <c r="BJ274" i="1"/>
  <c r="L276" i="1"/>
  <c r="AK276" i="1" s="1"/>
  <c r="Z276" i="1"/>
  <c r="AB276" i="1"/>
  <c r="AC276" i="1"/>
  <c r="AD276" i="1"/>
  <c r="AE276" i="1"/>
  <c r="AF276" i="1"/>
  <c r="AG276" i="1"/>
  <c r="AH276" i="1"/>
  <c r="AJ276" i="1"/>
  <c r="AL276" i="1"/>
  <c r="AO276" i="1"/>
  <c r="J276" i="1" s="1"/>
  <c r="AP276" i="1"/>
  <c r="BD276" i="1"/>
  <c r="BF276" i="1"/>
  <c r="BH276" i="1"/>
  <c r="BI276" i="1"/>
  <c r="BJ276" i="1"/>
  <c r="K280" i="1"/>
  <c r="L280" i="1"/>
  <c r="AK280" i="1" s="1"/>
  <c r="Z280" i="1"/>
  <c r="AB280" i="1"/>
  <c r="AC280" i="1"/>
  <c r="AD280" i="1"/>
  <c r="AE280" i="1"/>
  <c r="AF280" i="1"/>
  <c r="AG280" i="1"/>
  <c r="AH280" i="1"/>
  <c r="AJ280" i="1"/>
  <c r="AL280" i="1"/>
  <c r="AO280" i="1"/>
  <c r="AP280" i="1"/>
  <c r="AX280" i="1"/>
  <c r="BD280" i="1"/>
  <c r="BF280" i="1"/>
  <c r="BH280" i="1"/>
  <c r="BI280" i="1"/>
  <c r="BJ280" i="1"/>
  <c r="J284" i="1"/>
  <c r="K284" i="1"/>
  <c r="L284" i="1"/>
  <c r="AB284" i="1"/>
  <c r="AC284" i="1"/>
  <c r="AD284" i="1"/>
  <c r="AE284" i="1"/>
  <c r="AF284" i="1"/>
  <c r="AG284" i="1"/>
  <c r="AH284" i="1"/>
  <c r="AJ284" i="1"/>
  <c r="AK284" i="1"/>
  <c r="AL284" i="1"/>
  <c r="AO284" i="1"/>
  <c r="AP284" i="1"/>
  <c r="AW284" i="1"/>
  <c r="AX284" i="1"/>
  <c r="BD284" i="1"/>
  <c r="BF284" i="1"/>
  <c r="BH284" i="1"/>
  <c r="BI284" i="1"/>
  <c r="BJ284" i="1"/>
  <c r="Z284" i="1" s="1"/>
  <c r="J288" i="1"/>
  <c r="L288" i="1"/>
  <c r="AB288" i="1"/>
  <c r="AC288" i="1"/>
  <c r="AD288" i="1"/>
  <c r="AE288" i="1"/>
  <c r="AF288" i="1"/>
  <c r="AG288" i="1"/>
  <c r="AH288" i="1"/>
  <c r="AJ288" i="1"/>
  <c r="AK288" i="1"/>
  <c r="AL288" i="1"/>
  <c r="AO288" i="1"/>
  <c r="AP288" i="1"/>
  <c r="K288" i="1" s="1"/>
  <c r="AW288" i="1"/>
  <c r="BD288" i="1"/>
  <c r="BF288" i="1"/>
  <c r="BH288" i="1"/>
  <c r="BI288" i="1"/>
  <c r="BJ288" i="1"/>
  <c r="Z288" i="1" s="1"/>
  <c r="L292" i="1"/>
  <c r="AK292" i="1" s="1"/>
  <c r="Z292" i="1"/>
  <c r="AB292" i="1"/>
  <c r="AC292" i="1"/>
  <c r="AD292" i="1"/>
  <c r="AE292" i="1"/>
  <c r="AF292" i="1"/>
  <c r="AG292" i="1"/>
  <c r="AH292" i="1"/>
  <c r="AJ292" i="1"/>
  <c r="AL292" i="1"/>
  <c r="AO292" i="1"/>
  <c r="J292" i="1" s="1"/>
  <c r="AP292" i="1"/>
  <c r="BD292" i="1"/>
  <c r="BF292" i="1"/>
  <c r="BH292" i="1"/>
  <c r="BI292" i="1"/>
  <c r="BJ292" i="1"/>
  <c r="L296" i="1"/>
  <c r="G37" i="2" s="1"/>
  <c r="I37" i="2" s="1"/>
  <c r="AU296" i="1"/>
  <c r="J297" i="1"/>
  <c r="J296" i="1" s="1"/>
  <c r="E37" i="2" s="1"/>
  <c r="L297" i="1"/>
  <c r="AB297" i="1"/>
  <c r="AC297" i="1"/>
  <c r="AD297" i="1"/>
  <c r="AE297" i="1"/>
  <c r="AF297" i="1"/>
  <c r="AG297" i="1"/>
  <c r="AH297" i="1"/>
  <c r="AJ297" i="1"/>
  <c r="AS296" i="1" s="1"/>
  <c r="AK297" i="1"/>
  <c r="AT296" i="1" s="1"/>
  <c r="AL297" i="1"/>
  <c r="AO297" i="1"/>
  <c r="AP297" i="1"/>
  <c r="K297" i="1" s="1"/>
  <c r="K296" i="1" s="1"/>
  <c r="AW297" i="1"/>
  <c r="BD297" i="1"/>
  <c r="BF297" i="1"/>
  <c r="BH297" i="1"/>
  <c r="BJ297" i="1"/>
  <c r="Z297" i="1" s="1"/>
  <c r="L299" i="1"/>
  <c r="AS299" i="1"/>
  <c r="J300" i="1"/>
  <c r="J299" i="1" s="1"/>
  <c r="E38" i="2" s="1"/>
  <c r="K300" i="1"/>
  <c r="K299" i="1" s="1"/>
  <c r="F38" i="2" s="1"/>
  <c r="L300" i="1"/>
  <c r="Z300" i="1"/>
  <c r="AB300" i="1"/>
  <c r="AC300" i="1"/>
  <c r="AD300" i="1"/>
  <c r="AE300" i="1"/>
  <c r="AF300" i="1"/>
  <c r="AG300" i="1"/>
  <c r="AH300" i="1"/>
  <c r="AJ300" i="1"/>
  <c r="AK300" i="1"/>
  <c r="AT299" i="1" s="1"/>
  <c r="AL300" i="1"/>
  <c r="AU299" i="1" s="1"/>
  <c r="AO300" i="1"/>
  <c r="AP300" i="1"/>
  <c r="AW300" i="1"/>
  <c r="AX300" i="1"/>
  <c r="BD300" i="1"/>
  <c r="BF300" i="1"/>
  <c r="BH300" i="1"/>
  <c r="BI300" i="1"/>
  <c r="BJ300" i="1"/>
  <c r="AS301" i="1"/>
  <c r="K302" i="1"/>
  <c r="K301" i="1" s="1"/>
  <c r="L302" i="1"/>
  <c r="Z302" i="1"/>
  <c r="AB302" i="1"/>
  <c r="AC302" i="1"/>
  <c r="AD302" i="1"/>
  <c r="AE302" i="1"/>
  <c r="AG302" i="1"/>
  <c r="AH302" i="1"/>
  <c r="AJ302" i="1"/>
  <c r="AL302" i="1"/>
  <c r="AU301" i="1" s="1"/>
  <c r="AO302" i="1"/>
  <c r="AP302" i="1"/>
  <c r="AX302" i="1"/>
  <c r="BD302" i="1"/>
  <c r="BF302" i="1"/>
  <c r="BH302" i="1"/>
  <c r="AF302" i="1" s="1"/>
  <c r="BI302" i="1"/>
  <c r="BJ302" i="1"/>
  <c r="C2" i="2"/>
  <c r="G2" i="2"/>
  <c r="C4" i="2"/>
  <c r="G4" i="2"/>
  <c r="C6" i="2"/>
  <c r="G6" i="2"/>
  <c r="C8" i="2"/>
  <c r="G8" i="2"/>
  <c r="E11" i="2"/>
  <c r="F11" i="2"/>
  <c r="G11" i="2"/>
  <c r="I11" i="2" s="1"/>
  <c r="E15" i="2"/>
  <c r="G15" i="2"/>
  <c r="I15" i="2" s="1"/>
  <c r="G18" i="2"/>
  <c r="I18" i="2" s="1"/>
  <c r="E19" i="2"/>
  <c r="G19" i="2"/>
  <c r="I19" i="2" s="1"/>
  <c r="G26" i="2"/>
  <c r="I26" i="2" s="1"/>
  <c r="G29" i="2"/>
  <c r="I29" i="2" s="1"/>
  <c r="E31" i="2"/>
  <c r="F31" i="2"/>
  <c r="E32" i="2"/>
  <c r="F33" i="2"/>
  <c r="G33" i="2"/>
  <c r="I33" i="2" s="1"/>
  <c r="E35" i="2"/>
  <c r="F37" i="2"/>
  <c r="G38" i="2"/>
  <c r="I38" i="2" s="1"/>
  <c r="F39" i="2"/>
  <c r="BC300" i="1" l="1"/>
  <c r="AV300" i="1"/>
  <c r="K242" i="1"/>
  <c r="AX242" i="1"/>
  <c r="J128" i="1"/>
  <c r="J127" i="1" s="1"/>
  <c r="E24" i="2" s="1"/>
  <c r="AW128" i="1"/>
  <c r="BH128" i="1"/>
  <c r="AD128" i="1" s="1"/>
  <c r="K94" i="1"/>
  <c r="AX94" i="1"/>
  <c r="BI94" i="1"/>
  <c r="AE94" i="1" s="1"/>
  <c r="AT88" i="1"/>
  <c r="L301" i="1"/>
  <c r="G39" i="2" s="1"/>
  <c r="I39" i="2" s="1"/>
  <c r="AK302" i="1"/>
  <c r="AT301" i="1" s="1"/>
  <c r="K276" i="1"/>
  <c r="AX276" i="1"/>
  <c r="BC271" i="1"/>
  <c r="AV271" i="1"/>
  <c r="J268" i="1"/>
  <c r="AW268" i="1"/>
  <c r="BC262" i="1"/>
  <c r="AV262" i="1"/>
  <c r="J260" i="1"/>
  <c r="AW260" i="1"/>
  <c r="BC255" i="1"/>
  <c r="AV255" i="1"/>
  <c r="J252" i="1"/>
  <c r="J246" i="1" s="1"/>
  <c r="E36" i="2" s="1"/>
  <c r="AW252" i="1"/>
  <c r="AS246" i="1"/>
  <c r="K236" i="1"/>
  <c r="F34" i="2" s="1"/>
  <c r="BC213" i="1"/>
  <c r="AV213" i="1"/>
  <c r="AU204" i="1"/>
  <c r="AT164" i="1"/>
  <c r="K138" i="1"/>
  <c r="AX138" i="1"/>
  <c r="BI138" i="1"/>
  <c r="AE138" i="1" s="1"/>
  <c r="BC136" i="1"/>
  <c r="AV136" i="1"/>
  <c r="J100" i="1"/>
  <c r="AW100" i="1"/>
  <c r="BH100" i="1"/>
  <c r="AD100" i="1" s="1"/>
  <c r="AX71" i="1"/>
  <c r="K71" i="1"/>
  <c r="K62" i="1" s="1"/>
  <c r="F17" i="2" s="1"/>
  <c r="BI71" i="1"/>
  <c r="AE71" i="1" s="1"/>
  <c r="J68" i="1"/>
  <c r="AW68" i="1"/>
  <c r="BH68" i="1"/>
  <c r="AD68" i="1" s="1"/>
  <c r="J280" i="1"/>
  <c r="AW280" i="1"/>
  <c r="AU246" i="1"/>
  <c r="K245" i="1"/>
  <c r="K244" i="1" s="1"/>
  <c r="F35" i="2" s="1"/>
  <c r="AX245" i="1"/>
  <c r="J243" i="1"/>
  <c r="J236" i="1" s="1"/>
  <c r="E34" i="2" s="1"/>
  <c r="AW243" i="1"/>
  <c r="BC237" i="1"/>
  <c r="AV237" i="1"/>
  <c r="AT236" i="1"/>
  <c r="BC224" i="1"/>
  <c r="AV224" i="1"/>
  <c r="AT223" i="1"/>
  <c r="K219" i="1"/>
  <c r="AX219" i="1"/>
  <c r="AW208" i="1"/>
  <c r="J208" i="1"/>
  <c r="J204" i="1" s="1"/>
  <c r="E30" i="2" s="1"/>
  <c r="BH208" i="1"/>
  <c r="AD208" i="1" s="1"/>
  <c r="BC205" i="1"/>
  <c r="AV205" i="1"/>
  <c r="AW203" i="1"/>
  <c r="BH203" i="1"/>
  <c r="AX188" i="1"/>
  <c r="BI188" i="1"/>
  <c r="AE188" i="1" s="1"/>
  <c r="K188" i="1"/>
  <c r="BC178" i="1"/>
  <c r="AV178" i="1"/>
  <c r="L168" i="1"/>
  <c r="G28" i="2" s="1"/>
  <c r="I28" i="2" s="1"/>
  <c r="BC162" i="1"/>
  <c r="AV162" i="1"/>
  <c r="AU141" i="1"/>
  <c r="J134" i="1"/>
  <c r="AW134" i="1"/>
  <c r="BH134" i="1"/>
  <c r="AD134" i="1" s="1"/>
  <c r="BC130" i="1"/>
  <c r="AV130" i="1"/>
  <c r="L124" i="1"/>
  <c r="G23" i="2" s="1"/>
  <c r="I23" i="2" s="1"/>
  <c r="AK125" i="1"/>
  <c r="AT124" i="1" s="1"/>
  <c r="J123" i="1"/>
  <c r="AW123" i="1"/>
  <c r="BH123" i="1"/>
  <c r="AT246" i="1"/>
  <c r="K232" i="1"/>
  <c r="AX232" i="1"/>
  <c r="L204" i="1"/>
  <c r="G30" i="2" s="1"/>
  <c r="I30" i="2" s="1"/>
  <c r="AK208" i="1"/>
  <c r="AV184" i="1"/>
  <c r="AV163" i="1"/>
  <c r="BC163" i="1"/>
  <c r="K121" i="1"/>
  <c r="AX121" i="1"/>
  <c r="BI121" i="1"/>
  <c r="AE121" i="1" s="1"/>
  <c r="BC89" i="1"/>
  <c r="AV89" i="1"/>
  <c r="J302" i="1"/>
  <c r="J301" i="1" s="1"/>
  <c r="E39" i="2" s="1"/>
  <c r="AW302" i="1"/>
  <c r="K292" i="1"/>
  <c r="AX292" i="1"/>
  <c r="BC284" i="1"/>
  <c r="AV284" i="1"/>
  <c r="K266" i="1"/>
  <c r="AX266" i="1"/>
  <c r="K258" i="1"/>
  <c r="AX258" i="1"/>
  <c r="K249" i="1"/>
  <c r="K246" i="1" s="1"/>
  <c r="F36" i="2" s="1"/>
  <c r="AX249" i="1"/>
  <c r="L246" i="1"/>
  <c r="G36" i="2" s="1"/>
  <c r="I36" i="2" s="1"/>
  <c r="BI242" i="1"/>
  <c r="AC242" i="1" s="1"/>
  <c r="BI232" i="1"/>
  <c r="AE232" i="1" s="1"/>
  <c r="K223" i="1"/>
  <c r="F32" i="2" s="1"/>
  <c r="J211" i="1"/>
  <c r="AW211" i="1"/>
  <c r="AS204" i="1"/>
  <c r="BC186" i="1"/>
  <c r="AV186" i="1"/>
  <c r="J175" i="1"/>
  <c r="AW175" i="1"/>
  <c r="BH175" i="1"/>
  <c r="AD175" i="1" s="1"/>
  <c r="BC144" i="1"/>
  <c r="AV144" i="1"/>
  <c r="K125" i="1"/>
  <c r="K124" i="1" s="1"/>
  <c r="F23" i="2" s="1"/>
  <c r="BI125" i="1"/>
  <c r="AE125" i="1" s="1"/>
  <c r="AX125" i="1"/>
  <c r="BC102" i="1"/>
  <c r="AV102" i="1"/>
  <c r="BC81" i="1"/>
  <c r="AV81" i="1"/>
  <c r="BI297" i="1"/>
  <c r="L236" i="1"/>
  <c r="G34" i="2" s="1"/>
  <c r="I34" i="2" s="1"/>
  <c r="AT204" i="1"/>
  <c r="J188" i="1"/>
  <c r="BH188" i="1"/>
  <c r="AD188" i="1" s="1"/>
  <c r="AU168" i="1"/>
  <c r="AX166" i="1"/>
  <c r="AV166" i="1" s="1"/>
  <c r="K166" i="1"/>
  <c r="BI166" i="1"/>
  <c r="AE166" i="1" s="1"/>
  <c r="J162" i="1"/>
  <c r="AV161" i="1"/>
  <c r="K160" i="1"/>
  <c r="AX160" i="1"/>
  <c r="K157" i="1"/>
  <c r="BI157" i="1"/>
  <c r="AE157" i="1" s="1"/>
  <c r="BC149" i="1"/>
  <c r="AV149" i="1"/>
  <c r="AT141" i="1"/>
  <c r="J140" i="1"/>
  <c r="AW140" i="1"/>
  <c r="AU133" i="1"/>
  <c r="BC126" i="1"/>
  <c r="AV126" i="1"/>
  <c r="J125" i="1"/>
  <c r="J124" i="1" s="1"/>
  <c r="E23" i="2" s="1"/>
  <c r="AW125" i="1"/>
  <c r="K122" i="1"/>
  <c r="BI122" i="1"/>
  <c r="AE122" i="1" s="1"/>
  <c r="AK122" i="1"/>
  <c r="L120" i="1"/>
  <c r="G22" i="2" s="1"/>
  <c r="I22" i="2" s="1"/>
  <c r="AV115" i="1"/>
  <c r="BC115" i="1"/>
  <c r="BC105" i="1"/>
  <c r="AV105" i="1"/>
  <c r="K103" i="1"/>
  <c r="AX103" i="1"/>
  <c r="AV103" i="1" s="1"/>
  <c r="BI103" i="1"/>
  <c r="AE103" i="1" s="1"/>
  <c r="J92" i="1"/>
  <c r="AW92" i="1"/>
  <c r="BH92" i="1"/>
  <c r="AD92" i="1" s="1"/>
  <c r="C16" i="3" s="1"/>
  <c r="K42" i="1"/>
  <c r="AX42" i="1"/>
  <c r="BI42" i="1"/>
  <c r="AC42" i="1" s="1"/>
  <c r="BC13" i="1"/>
  <c r="AV13" i="1"/>
  <c r="AT12" i="1"/>
  <c r="L223" i="1"/>
  <c r="G32" i="2" s="1"/>
  <c r="I32" i="2" s="1"/>
  <c r="AX297" i="1"/>
  <c r="AW292" i="1"/>
  <c r="AX288" i="1"/>
  <c r="AW276" i="1"/>
  <c r="AX274" i="1"/>
  <c r="AW266" i="1"/>
  <c r="AX264" i="1"/>
  <c r="AW258" i="1"/>
  <c r="AX257" i="1"/>
  <c r="AW249" i="1"/>
  <c r="AX247" i="1"/>
  <c r="AW245" i="1"/>
  <c r="AW242" i="1"/>
  <c r="AX240" i="1"/>
  <c r="AX234" i="1"/>
  <c r="AW232" i="1"/>
  <c r="AX231" i="1"/>
  <c r="AX221" i="1"/>
  <c r="AW219" i="1"/>
  <c r="AX216" i="1"/>
  <c r="AX203" i="1"/>
  <c r="AV193" i="1"/>
  <c r="AX184" i="1"/>
  <c r="BC184" i="1" s="1"/>
  <c r="K184" i="1"/>
  <c r="K180" i="1" s="1"/>
  <c r="F29" i="2" s="1"/>
  <c r="BI184" i="1"/>
  <c r="AE184" i="1" s="1"/>
  <c r="K172" i="1"/>
  <c r="K168" i="1" s="1"/>
  <c r="F28" i="2" s="1"/>
  <c r="AX172" i="1"/>
  <c r="AV169" i="1"/>
  <c r="J167" i="1"/>
  <c r="J165" i="1"/>
  <c r="J164" i="1" s="1"/>
  <c r="E27" i="2" s="1"/>
  <c r="AW165" i="1"/>
  <c r="BH165" i="1"/>
  <c r="AD165" i="1" s="1"/>
  <c r="K164" i="1"/>
  <c r="F27" i="2" s="1"/>
  <c r="AW160" i="1"/>
  <c r="J160" i="1"/>
  <c r="BH160" i="1"/>
  <c r="AD160" i="1" s="1"/>
  <c r="J158" i="1"/>
  <c r="AV156" i="1"/>
  <c r="J156" i="1"/>
  <c r="J141" i="1"/>
  <c r="E26" i="2" s="1"/>
  <c r="L133" i="1"/>
  <c r="G25" i="2" s="1"/>
  <c r="I25" i="2" s="1"/>
  <c r="AK134" i="1"/>
  <c r="AT133" i="1" s="1"/>
  <c r="AV132" i="1"/>
  <c r="J122" i="1"/>
  <c r="AW122" i="1"/>
  <c r="AX115" i="1"/>
  <c r="K115" i="1"/>
  <c r="K114" i="1" s="1"/>
  <c r="F21" i="2" s="1"/>
  <c r="BI115" i="1"/>
  <c r="AE115" i="1" s="1"/>
  <c r="L114" i="1"/>
  <c r="G21" i="2" s="1"/>
  <c r="I21" i="2" s="1"/>
  <c r="AK115" i="1"/>
  <c r="AT114" i="1" s="1"/>
  <c r="K112" i="1"/>
  <c r="BI112" i="1"/>
  <c r="AE112" i="1" s="1"/>
  <c r="AX112" i="1"/>
  <c r="J108" i="1"/>
  <c r="AW108" i="1"/>
  <c r="BH108" i="1"/>
  <c r="AD108" i="1" s="1"/>
  <c r="J101" i="1"/>
  <c r="AW101" i="1"/>
  <c r="BH101" i="1"/>
  <c r="AD101" i="1" s="1"/>
  <c r="AK59" i="1"/>
  <c r="L55" i="1"/>
  <c r="G16" i="2" s="1"/>
  <c r="I16" i="2" s="1"/>
  <c r="J44" i="1"/>
  <c r="AW44" i="1"/>
  <c r="BH44" i="1"/>
  <c r="AB44" i="1" s="1"/>
  <c r="J42" i="1"/>
  <c r="J41" i="1" s="1"/>
  <c r="E14" i="2" s="1"/>
  <c r="AW42" i="1"/>
  <c r="BH42" i="1"/>
  <c r="AB42" i="1" s="1"/>
  <c r="BC33" i="1"/>
  <c r="AV33" i="1"/>
  <c r="J30" i="1"/>
  <c r="J29" i="1" s="1"/>
  <c r="E13" i="2" s="1"/>
  <c r="AW30" i="1"/>
  <c r="AK245" i="1"/>
  <c r="AT244" i="1" s="1"/>
  <c r="K204" i="1"/>
  <c r="F30" i="2" s="1"/>
  <c r="AW188" i="1"/>
  <c r="J186" i="1"/>
  <c r="J181" i="1"/>
  <c r="AW181" i="1"/>
  <c r="BH181" i="1"/>
  <c r="AD181" i="1" s="1"/>
  <c r="AW172" i="1"/>
  <c r="J172" i="1"/>
  <c r="J168" i="1" s="1"/>
  <c r="E28" i="2" s="1"/>
  <c r="BH172" i="1"/>
  <c r="AD172" i="1" s="1"/>
  <c r="BI163" i="1"/>
  <c r="K163" i="1"/>
  <c r="BH162" i="1"/>
  <c r="AD162" i="1" s="1"/>
  <c r="BC161" i="1"/>
  <c r="K159" i="1"/>
  <c r="BH158" i="1"/>
  <c r="AD158" i="1" s="1"/>
  <c r="AX157" i="1"/>
  <c r="BC157" i="1" s="1"/>
  <c r="BI156" i="1"/>
  <c r="AE156" i="1" s="1"/>
  <c r="BC156" i="1"/>
  <c r="J153" i="1"/>
  <c r="BH153" i="1"/>
  <c r="AD153" i="1" s="1"/>
  <c r="K153" i="1"/>
  <c r="BI143" i="1"/>
  <c r="AE143" i="1" s="1"/>
  <c r="BH140" i="1"/>
  <c r="K128" i="1"/>
  <c r="K127" i="1" s="1"/>
  <c r="F24" i="2" s="1"/>
  <c r="BI128" i="1"/>
  <c r="AE128" i="1" s="1"/>
  <c r="L127" i="1"/>
  <c r="G24" i="2" s="1"/>
  <c r="I24" i="2" s="1"/>
  <c r="AK128" i="1"/>
  <c r="AT127" i="1" s="1"/>
  <c r="AT120" i="1"/>
  <c r="K119" i="1"/>
  <c r="AX119" i="1"/>
  <c r="BC116" i="1"/>
  <c r="AV116" i="1"/>
  <c r="K111" i="1"/>
  <c r="AX111" i="1"/>
  <c r="AV111" i="1" s="1"/>
  <c r="BI111" i="1"/>
  <c r="AE111" i="1" s="1"/>
  <c r="AV107" i="1"/>
  <c r="AX83" i="1"/>
  <c r="BC83" i="1" s="1"/>
  <c r="BI83" i="1"/>
  <c r="AE83" i="1" s="1"/>
  <c r="AV79" i="1"/>
  <c r="BC79" i="1"/>
  <c r="BC60" i="1"/>
  <c r="AV60" i="1"/>
  <c r="AU180" i="1"/>
  <c r="AT168" i="1"/>
  <c r="AU164" i="1"/>
  <c r="J152" i="1"/>
  <c r="AW152" i="1"/>
  <c r="K151" i="1"/>
  <c r="AX151" i="1"/>
  <c r="J148" i="1"/>
  <c r="AW148" i="1"/>
  <c r="K147" i="1"/>
  <c r="AX147" i="1"/>
  <c r="J143" i="1"/>
  <c r="AW143" i="1"/>
  <c r="K142" i="1"/>
  <c r="K141" i="1" s="1"/>
  <c r="F26" i="2" s="1"/>
  <c r="AX142" i="1"/>
  <c r="AS141" i="1"/>
  <c r="K133" i="1"/>
  <c r="F25" i="2" s="1"/>
  <c r="J120" i="1"/>
  <c r="E22" i="2" s="1"/>
  <c r="AW119" i="1"/>
  <c r="J119" i="1"/>
  <c r="BH119" i="1"/>
  <c r="J114" i="1"/>
  <c r="E21" i="2" s="1"/>
  <c r="J113" i="1"/>
  <c r="AW113" i="1"/>
  <c r="BH113" i="1"/>
  <c r="BC111" i="1"/>
  <c r="J109" i="1"/>
  <c r="AW109" i="1"/>
  <c r="BH109" i="1"/>
  <c r="AD109" i="1" s="1"/>
  <c r="K104" i="1"/>
  <c r="BI104" i="1"/>
  <c r="AE104" i="1" s="1"/>
  <c r="BC97" i="1"/>
  <c r="AV97" i="1"/>
  <c r="J91" i="1"/>
  <c r="J88" i="1" s="1"/>
  <c r="E20" i="2" s="1"/>
  <c r="AW91" i="1"/>
  <c r="BH91" i="1"/>
  <c r="AD91" i="1" s="1"/>
  <c r="BC87" i="1"/>
  <c r="AV87" i="1"/>
  <c r="K95" i="1"/>
  <c r="K88" i="1" s="1"/>
  <c r="F20" i="2" s="1"/>
  <c r="BI95" i="1"/>
  <c r="AE95" i="1" s="1"/>
  <c r="AW77" i="1"/>
  <c r="J77" i="1"/>
  <c r="J75" i="1" s="1"/>
  <c r="E18" i="2" s="1"/>
  <c r="BH77" i="1"/>
  <c r="AD77" i="1" s="1"/>
  <c r="AU75" i="1"/>
  <c r="J63" i="1"/>
  <c r="J62" i="1" s="1"/>
  <c r="E17" i="2" s="1"/>
  <c r="AW63" i="1"/>
  <c r="BH63" i="1"/>
  <c r="AD63" i="1" s="1"/>
  <c r="J112" i="1"/>
  <c r="AW112" i="1"/>
  <c r="BC106" i="1"/>
  <c r="J104" i="1"/>
  <c r="AW104" i="1"/>
  <c r="BC98" i="1"/>
  <c r="J95" i="1"/>
  <c r="AW95" i="1"/>
  <c r="K58" i="1"/>
  <c r="AX58" i="1"/>
  <c r="BC58" i="1" s="1"/>
  <c r="BI58" i="1"/>
  <c r="AC58" i="1" s="1"/>
  <c r="C15" i="3" s="1"/>
  <c r="C22" i="3" s="1"/>
  <c r="AT55" i="1"/>
  <c r="J24" i="1"/>
  <c r="AW24" i="1"/>
  <c r="BH24" i="1"/>
  <c r="AB24" i="1" s="1"/>
  <c r="BH115" i="1"/>
  <c r="AD115" i="1" s="1"/>
  <c r="K107" i="1"/>
  <c r="AX107" i="1"/>
  <c r="BC107" i="1" s="1"/>
  <c r="AV106" i="1"/>
  <c r="K99" i="1"/>
  <c r="AX99" i="1"/>
  <c r="AV99" i="1" s="1"/>
  <c r="AS88" i="1"/>
  <c r="AU88" i="1"/>
  <c r="L88" i="1"/>
  <c r="G20" i="2" s="1"/>
  <c r="I20" i="2" s="1"/>
  <c r="K85" i="1"/>
  <c r="AX85" i="1"/>
  <c r="BI85" i="1"/>
  <c r="AV83" i="1"/>
  <c r="K77" i="1"/>
  <c r="K75" i="1" s="1"/>
  <c r="F18" i="2" s="1"/>
  <c r="AX77" i="1"/>
  <c r="AS75" i="1"/>
  <c r="AS62" i="1"/>
  <c r="AV58" i="1"/>
  <c r="AW48" i="1"/>
  <c r="BH48" i="1"/>
  <c r="AB48" i="1" s="1"/>
  <c r="C14" i="3" s="1"/>
  <c r="C20" i="3"/>
  <c r="BC27" i="1"/>
  <c r="AV27" i="1"/>
  <c r="AT75" i="1"/>
  <c r="K53" i="1"/>
  <c r="K52" i="1" s="1"/>
  <c r="F15" i="2" s="1"/>
  <c r="AX53" i="1"/>
  <c r="K38" i="1"/>
  <c r="K29" i="1" s="1"/>
  <c r="F13" i="2" s="1"/>
  <c r="AX38" i="1"/>
  <c r="AU29" i="1"/>
  <c r="K22" i="1"/>
  <c r="K17" i="1" s="1"/>
  <c r="F12" i="2" s="1"/>
  <c r="AX22" i="1"/>
  <c r="BC18" i="1"/>
  <c r="AV18" i="1"/>
  <c r="AT17" i="1"/>
  <c r="J17" i="1"/>
  <c r="E12" i="2" s="1"/>
  <c r="BI87" i="1"/>
  <c r="AE87" i="1" s="1"/>
  <c r="K87" i="1"/>
  <c r="K86" i="1" s="1"/>
  <c r="F19" i="2" s="1"/>
  <c r="BH85" i="1"/>
  <c r="J85" i="1"/>
  <c r="BI79" i="1"/>
  <c r="AE79" i="1" s="1"/>
  <c r="C17" i="3" s="1"/>
  <c r="BI74" i="1"/>
  <c r="L62" i="1"/>
  <c r="G17" i="2" s="1"/>
  <c r="I17" i="2" s="1"/>
  <c r="AK63" i="1"/>
  <c r="AT62" i="1" s="1"/>
  <c r="J59" i="1"/>
  <c r="J55" i="1" s="1"/>
  <c r="E16" i="2" s="1"/>
  <c r="AW59" i="1"/>
  <c r="BC56" i="1"/>
  <c r="AU55" i="1"/>
  <c r="K55" i="1"/>
  <c r="F16" i="2" s="1"/>
  <c r="C27" i="3"/>
  <c r="K48" i="1"/>
  <c r="K41" i="1" s="1"/>
  <c r="F14" i="2" s="1"/>
  <c r="L29" i="1"/>
  <c r="G13" i="2" s="1"/>
  <c r="I13" i="2" s="1"/>
  <c r="AK30" i="1"/>
  <c r="AT29" i="1" s="1"/>
  <c r="L17" i="1"/>
  <c r="G12" i="2" s="1"/>
  <c r="I12" i="2" s="1"/>
  <c r="C29" i="3"/>
  <c r="F29" i="3" s="1"/>
  <c r="C19" i="3"/>
  <c r="C21" i="3"/>
  <c r="AW22" i="1"/>
  <c r="AX20" i="1"/>
  <c r="AV20" i="1" s="1"/>
  <c r="AX15" i="1"/>
  <c r="AV15" i="1" s="1"/>
  <c r="C18" i="3"/>
  <c r="L41" i="1"/>
  <c r="L303" i="1" s="1"/>
  <c r="AV50" i="1"/>
  <c r="AU41" i="1"/>
  <c r="AS41" i="1"/>
  <c r="AT41" i="1"/>
  <c r="AV63" i="1" l="1"/>
  <c r="BC63" i="1"/>
  <c r="BC101" i="1"/>
  <c r="AV101" i="1"/>
  <c r="AV108" i="1"/>
  <c r="BC108" i="1"/>
  <c r="BC165" i="1"/>
  <c r="AV165" i="1"/>
  <c r="AV219" i="1"/>
  <c r="BC219" i="1"/>
  <c r="BC234" i="1"/>
  <c r="AV234" i="1"/>
  <c r="BC247" i="1"/>
  <c r="AV247" i="1"/>
  <c r="BC264" i="1"/>
  <c r="AV264" i="1"/>
  <c r="BC288" i="1"/>
  <c r="AV288" i="1"/>
  <c r="BC20" i="1"/>
  <c r="BC92" i="1"/>
  <c r="AV92" i="1"/>
  <c r="K120" i="1"/>
  <c r="F22" i="2" s="1"/>
  <c r="BC123" i="1"/>
  <c r="AV123" i="1"/>
  <c r="J133" i="1"/>
  <c r="E25" i="2" s="1"/>
  <c r="AV208" i="1"/>
  <c r="BC208" i="1"/>
  <c r="BC280" i="1"/>
  <c r="AV280" i="1"/>
  <c r="BC99" i="1"/>
  <c r="AV138" i="1"/>
  <c r="BC138" i="1"/>
  <c r="AV128" i="1"/>
  <c r="BC128" i="1"/>
  <c r="AV38" i="1"/>
  <c r="BC38" i="1"/>
  <c r="BC121" i="1"/>
  <c r="AV121" i="1"/>
  <c r="BC134" i="1"/>
  <c r="AV134" i="1"/>
  <c r="AV203" i="1"/>
  <c r="BC203" i="1"/>
  <c r="BC68" i="1"/>
  <c r="AV68" i="1"/>
  <c r="AV100" i="1"/>
  <c r="BC100" i="1"/>
  <c r="AV157" i="1"/>
  <c r="BC252" i="1"/>
  <c r="AV252" i="1"/>
  <c r="BC260" i="1"/>
  <c r="AV260" i="1"/>
  <c r="BC268" i="1"/>
  <c r="AV268" i="1"/>
  <c r="AV22" i="1"/>
  <c r="BC22" i="1"/>
  <c r="AV143" i="1"/>
  <c r="BC143" i="1"/>
  <c r="AV152" i="1"/>
  <c r="BC152" i="1"/>
  <c r="BC181" i="1"/>
  <c r="AV181" i="1"/>
  <c r="G14" i="2"/>
  <c r="I14" i="2" s="1"/>
  <c r="G40" i="2" s="1"/>
  <c r="C28" i="3"/>
  <c r="BC15" i="1"/>
  <c r="AV53" i="1"/>
  <c r="BC53" i="1"/>
  <c r="AV48" i="1"/>
  <c r="BC48" i="1"/>
  <c r="AV104" i="1"/>
  <c r="BC104" i="1"/>
  <c r="BC109" i="1"/>
  <c r="AV109" i="1"/>
  <c r="BC113" i="1"/>
  <c r="AV113" i="1"/>
  <c r="AV172" i="1"/>
  <c r="BC172" i="1"/>
  <c r="J180" i="1"/>
  <c r="E29" i="2" s="1"/>
  <c r="BC160" i="1"/>
  <c r="AV160" i="1"/>
  <c r="BC221" i="1"/>
  <c r="AV221" i="1"/>
  <c r="BC240" i="1"/>
  <c r="AV240" i="1"/>
  <c r="AV249" i="1"/>
  <c r="BC249" i="1"/>
  <c r="AV266" i="1"/>
  <c r="BC266" i="1"/>
  <c r="AV292" i="1"/>
  <c r="BC292" i="1"/>
  <c r="AV125" i="1"/>
  <c r="BC125" i="1"/>
  <c r="AV175" i="1"/>
  <c r="BC175" i="1"/>
  <c r="BC94" i="1"/>
  <c r="AV94" i="1"/>
  <c r="BC24" i="1"/>
  <c r="AV24" i="1"/>
  <c r="AV188" i="1"/>
  <c r="BC188" i="1"/>
  <c r="AV42" i="1"/>
  <c r="BC42" i="1"/>
  <c r="BC216" i="1"/>
  <c r="AV216" i="1"/>
  <c r="AV232" i="1"/>
  <c r="BC232" i="1"/>
  <c r="AV245" i="1"/>
  <c r="BC245" i="1"/>
  <c r="AV258" i="1"/>
  <c r="BC258" i="1"/>
  <c r="AV276" i="1"/>
  <c r="BC276" i="1"/>
  <c r="BC71" i="1"/>
  <c r="AV71" i="1"/>
  <c r="AV112" i="1"/>
  <c r="BC112" i="1"/>
  <c r="AV77" i="1"/>
  <c r="BC77" i="1"/>
  <c r="AV148" i="1"/>
  <c r="BC148" i="1"/>
  <c r="AV59" i="1"/>
  <c r="BC59" i="1"/>
  <c r="BC85" i="1"/>
  <c r="AV85" i="1"/>
  <c r="AV95" i="1"/>
  <c r="BC95" i="1"/>
  <c r="AV91" i="1"/>
  <c r="BC91" i="1"/>
  <c r="AV119" i="1"/>
  <c r="BC119" i="1"/>
  <c r="BC142" i="1"/>
  <c r="AV142" i="1"/>
  <c r="AV147" i="1"/>
  <c r="BC147" i="1"/>
  <c r="AV151" i="1"/>
  <c r="BC151" i="1"/>
  <c r="BC166" i="1"/>
  <c r="BC30" i="1"/>
  <c r="AV30" i="1"/>
  <c r="BC44" i="1"/>
  <c r="AV44" i="1"/>
  <c r="BC103" i="1"/>
  <c r="AV122" i="1"/>
  <c r="BC122" i="1"/>
  <c r="BC231" i="1"/>
  <c r="AV231" i="1"/>
  <c r="AV242" i="1"/>
  <c r="BC242" i="1"/>
  <c r="BC257" i="1"/>
  <c r="AV257" i="1"/>
  <c r="BC274" i="1"/>
  <c r="AV274" i="1"/>
  <c r="BC297" i="1"/>
  <c r="AV297" i="1"/>
  <c r="AV140" i="1"/>
  <c r="BC140" i="1"/>
  <c r="BC211" i="1"/>
  <c r="AV211" i="1"/>
  <c r="BC302" i="1"/>
  <c r="AV302" i="1"/>
  <c r="BC243" i="1"/>
  <c r="AV243" i="1"/>
  <c r="F28" i="3" l="1"/>
  <c r="I28" i="3"/>
  <c r="I29" i="3" s="1"/>
</calcChain>
</file>

<file path=xl/sharedStrings.xml><?xml version="1.0" encoding="utf-8"?>
<sst xmlns="http://schemas.openxmlformats.org/spreadsheetml/2006/main" count="1933" uniqueCount="727">
  <si>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</si>
  <si>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</si>
  <si>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</si>
  <si>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</si>
  <si>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</si>
  <si>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</si>
  <si>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</si>
  <si>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</si>
  <si>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</si>
  <si>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</si>
  <si>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</si>
  <si>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</si>
  <si>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</si>
  <si>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</si>
  <si>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</si>
  <si>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</si>
  <si>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</si>
  <si>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</si>
  <si>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</si>
  <si>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</si>
  <si>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</si>
  <si>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</si>
  <si>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</si>
  <si>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</si>
  <si>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</si>
  <si>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</si>
  <si>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</si>
  <si>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</si>
  <si>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</si>
  <si>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</si>
  <si>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</si>
  <si>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</si>
  <si>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</si>
  <si>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</si>
  <si>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</si>
  <si>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</si>
  <si>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</si>
  <si>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</si>
  <si>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</si>
  <si>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</si>
  <si>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</si>
  <si>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</si>
  <si>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</si>
  <si>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</si>
  <si>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</si>
  <si>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</si>
  <si>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</si>
  <si>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</si>
  <si>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</si>
  <si>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</si>
  <si>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</si>
  <si>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</si>
  <si>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</si>
  <si>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</si>
  <si>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</si>
  <si>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</si>
  <si>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</si>
  <si>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</si>
  <si>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</si>
  <si>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</si>
  <si>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</si>
  <si>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</si>
  <si>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</si>
  <si>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</si>
  <si>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</si>
  <si>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</si>
  <si>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</si>
  <si>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</si>
  <si>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</si>
  <si>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</si>
  <si>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</si>
  <si>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</si>
  <si>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</si>
  <si>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</si>
  <si>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</si>
  <si>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</si>
  <si>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</si>
  <si>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</si>
  <si>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</si>
  <si>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</si>
  <si>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</si>
  <si>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</si>
  <si>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</si>
  <si>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</si>
  <si>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</si>
  <si>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</si>
  <si>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</si>
  <si>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</si>
  <si>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</si>
  <si>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</si>
  <si>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</si>
  <si>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</si>
  <si>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</si>
  <si>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</si>
  <si>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</si>
  <si>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</si>
  <si>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</si>
  <si>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</si>
  <si>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</si>
  <si>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</si>
  <si>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</si>
  <si>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</si>
  <si>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</si>
  <si>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</si>
  <si>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</si>
  <si>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</si>
  <si>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</si>
  <si>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</si>
  <si>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</si>
  <si>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</si>
  <si>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</si>
  <si>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</si>
  <si>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</si>
  <si>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</si>
  <si>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</si>
  <si>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</si>
  <si>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</si>
  <si>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</si>
  <si>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</si>
  <si>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</si>
  <si>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</si>
  <si>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</si>
  <si>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</si>
  <si>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</si>
  <si>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</si>
  <si>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</si>
  <si>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</si>
  <si>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</si>
  <si>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</si>
  <si>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</si>
  <si>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</si>
  <si>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</si>
  <si>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</si>
  <si>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</si>
  <si>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</si>
  <si>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</si>
  <si>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</si>
  <si>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</si>
  <si>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</si>
  <si>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</si>
  <si>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</si>
  <si>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</si>
  <si>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</si>
  <si>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</si>
  <si>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</si>
  <si>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</si>
  <si>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</si>
  <si>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</si>
  <si>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</si>
  <si>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</si>
  <si>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Poznámka:</t>
  </si>
  <si>
    <t>Kód</t>
  </si>
  <si>
    <t>317944311RU3</t>
  </si>
  <si>
    <t>317941121RT2</t>
  </si>
  <si>
    <t>342255024R00</t>
  </si>
  <si>
    <t>342012124R00</t>
  </si>
  <si>
    <t>340271615R00</t>
  </si>
  <si>
    <t>346244381RT2</t>
  </si>
  <si>
    <t>342941114R00</t>
  </si>
  <si>
    <t>612421637R00</t>
  </si>
  <si>
    <t>612421231RT2</t>
  </si>
  <si>
    <t>612421626R00</t>
  </si>
  <si>
    <t>622311133RT3</t>
  </si>
  <si>
    <t>622311131RT3</t>
  </si>
  <si>
    <t>622481211RT2</t>
  </si>
  <si>
    <t>602021187RW1</t>
  </si>
  <si>
    <t>632451014R00</t>
  </si>
  <si>
    <t>642942111RT5</t>
  </si>
  <si>
    <t>642942221RT3</t>
  </si>
  <si>
    <t>648991113RT3</t>
  </si>
  <si>
    <t>642942111RU5</t>
  </si>
  <si>
    <t>711</t>
  </si>
  <si>
    <t>711212002R00</t>
  </si>
  <si>
    <t>711212231R00</t>
  </si>
  <si>
    <t>711212611R00</t>
  </si>
  <si>
    <t>998711202R00</t>
  </si>
  <si>
    <t>713</t>
  </si>
  <si>
    <t>23170120</t>
  </si>
  <si>
    <t>713131130R00</t>
  </si>
  <si>
    <t>28376304</t>
  </si>
  <si>
    <t>713131111R00</t>
  </si>
  <si>
    <t>28376292</t>
  </si>
  <si>
    <t>998713202R00</t>
  </si>
  <si>
    <t>721</t>
  </si>
  <si>
    <t>721220802R00</t>
  </si>
  <si>
    <t>725</t>
  </si>
  <si>
    <t>725110814R00</t>
  </si>
  <si>
    <t>725210821R00</t>
  </si>
  <si>
    <t>725310821R00</t>
  </si>
  <si>
    <t>725810811R00</t>
  </si>
  <si>
    <t>725820801R00</t>
  </si>
  <si>
    <t>725840850R00</t>
  </si>
  <si>
    <t>725590812R00</t>
  </si>
  <si>
    <t>725013173R00</t>
  </si>
  <si>
    <t>725017162R00</t>
  </si>
  <si>
    <t>725114921R00</t>
  </si>
  <si>
    <t>725291113R00</t>
  </si>
  <si>
    <t>725292035R00</t>
  </si>
  <si>
    <t>725810402R00</t>
  </si>
  <si>
    <t>725825111RT1</t>
  </si>
  <si>
    <t>55145352</t>
  </si>
  <si>
    <t>725845111RT1</t>
  </si>
  <si>
    <t>725291175R00</t>
  </si>
  <si>
    <t>615290319</t>
  </si>
  <si>
    <t>725299101R00</t>
  </si>
  <si>
    <t>553 043VD</t>
  </si>
  <si>
    <t>553 044VD</t>
  </si>
  <si>
    <t>725291146R00</t>
  </si>
  <si>
    <t>725291142R00</t>
  </si>
  <si>
    <t>998725202R00</t>
  </si>
  <si>
    <t>733</t>
  </si>
  <si>
    <t>733110803R00</t>
  </si>
  <si>
    <t>733121110R00</t>
  </si>
  <si>
    <t>733113113R00</t>
  </si>
  <si>
    <t>998733203R00</t>
  </si>
  <si>
    <t>734</t>
  </si>
  <si>
    <t>734223122RT2</t>
  </si>
  <si>
    <t>734263312R00</t>
  </si>
  <si>
    <t>998734203R00</t>
  </si>
  <si>
    <t>735</t>
  </si>
  <si>
    <t>735 01VD</t>
  </si>
  <si>
    <t>998735202R00</t>
  </si>
  <si>
    <t>762</t>
  </si>
  <si>
    <t>762123110R00</t>
  </si>
  <si>
    <t>60515810</t>
  </si>
  <si>
    <t>998762202R00</t>
  </si>
  <si>
    <t>764</t>
  </si>
  <si>
    <t>764521420R00</t>
  </si>
  <si>
    <t>764521430R00</t>
  </si>
  <si>
    <t>764231420R00</t>
  </si>
  <si>
    <t>998764202R00</t>
  </si>
  <si>
    <t>766</t>
  </si>
  <si>
    <t>766812840R00</t>
  </si>
  <si>
    <t>766825811R00</t>
  </si>
  <si>
    <t>766825111R00</t>
  </si>
  <si>
    <t>611 71VD</t>
  </si>
  <si>
    <t>611 72VD</t>
  </si>
  <si>
    <t>766661112R00</t>
  </si>
  <si>
    <t>766661132R00</t>
  </si>
  <si>
    <t>61160627</t>
  </si>
  <si>
    <t>54914588</t>
  </si>
  <si>
    <t>54914585</t>
  </si>
  <si>
    <t>611601203</t>
  </si>
  <si>
    <t>766661122R00</t>
  </si>
  <si>
    <t>61160624</t>
  </si>
  <si>
    <t>61165643</t>
  </si>
  <si>
    <t>54964014</t>
  </si>
  <si>
    <t>549146400</t>
  </si>
  <si>
    <t>766692314R00</t>
  </si>
  <si>
    <t>766697123R00</t>
  </si>
  <si>
    <t>553476548</t>
  </si>
  <si>
    <t>615 10VD</t>
  </si>
  <si>
    <t>998766202R00</t>
  </si>
  <si>
    <t>767</t>
  </si>
  <si>
    <t>767811120R00</t>
  </si>
  <si>
    <t>5534301661</t>
  </si>
  <si>
    <t>998767202R00</t>
  </si>
  <si>
    <t>771</t>
  </si>
  <si>
    <t>771101210R00</t>
  </si>
  <si>
    <t>771575109R00</t>
  </si>
  <si>
    <t>597642031</t>
  </si>
  <si>
    <t>771589791R00</t>
  </si>
  <si>
    <t>998771202R00</t>
  </si>
  <si>
    <t>776</t>
  </si>
  <si>
    <t>776511820RT3</t>
  </si>
  <si>
    <t>776511820RT2</t>
  </si>
  <si>
    <t>776511820RT1</t>
  </si>
  <si>
    <t>776521200R00</t>
  </si>
  <si>
    <t>776421100RU1</t>
  </si>
  <si>
    <t>284123093</t>
  </si>
  <si>
    <t>998776202R00</t>
  </si>
  <si>
    <t>781</t>
  </si>
  <si>
    <t>781101210R00</t>
  </si>
  <si>
    <t>781415015R00</t>
  </si>
  <si>
    <t>781419711R00</t>
  </si>
  <si>
    <t>781497111R00</t>
  </si>
  <si>
    <t>597813609</t>
  </si>
  <si>
    <t>998781202R00</t>
  </si>
  <si>
    <t>783</t>
  </si>
  <si>
    <t>783225100R00</t>
  </si>
  <si>
    <t>784</t>
  </si>
  <si>
    <t>784191101R00</t>
  </si>
  <si>
    <t>784195112R00</t>
  </si>
  <si>
    <t>784401801R00</t>
  </si>
  <si>
    <t>786</t>
  </si>
  <si>
    <t>786622211RT2</t>
  </si>
  <si>
    <t>941955001R00</t>
  </si>
  <si>
    <t>941941031R00</t>
  </si>
  <si>
    <t>941941191R00</t>
  </si>
  <si>
    <t>941941831R00</t>
  </si>
  <si>
    <t>M21</t>
  </si>
  <si>
    <t>210 02VD</t>
  </si>
  <si>
    <t>962031116R00</t>
  </si>
  <si>
    <t>965081713RT1</t>
  </si>
  <si>
    <t>965041341RT1</t>
  </si>
  <si>
    <t>968072455R00</t>
  </si>
  <si>
    <t>968061125R00</t>
  </si>
  <si>
    <t>968083033R00</t>
  </si>
  <si>
    <t>968062746R00</t>
  </si>
  <si>
    <t>967031132R00</t>
  </si>
  <si>
    <t>974031664R00</t>
  </si>
  <si>
    <t>971033631R00</t>
  </si>
  <si>
    <t>978059531R00</t>
  </si>
  <si>
    <t>978021191R00</t>
  </si>
  <si>
    <t>976082131R00</t>
  </si>
  <si>
    <t>979011211R00</t>
  </si>
  <si>
    <t>979082111R00</t>
  </si>
  <si>
    <t>979082113R00</t>
  </si>
  <si>
    <t>979082119R00</t>
  </si>
  <si>
    <t>979990107R00</t>
  </si>
  <si>
    <t>H99</t>
  </si>
  <si>
    <t>999281108R00</t>
  </si>
  <si>
    <t>M22</t>
  </si>
  <si>
    <t>220 01VD</t>
  </si>
  <si>
    <t>M24</t>
  </si>
  <si>
    <t>240 02VD</t>
  </si>
  <si>
    <t>REKONSTRUKCE - ODLEHČOVACÍ SLUŽBA - DENNÍ STACIONÁŘ 106</t>
  </si>
  <si>
    <t>RT-2139-4</t>
  </si>
  <si>
    <t>KARLOVY VARY, VÝCHODNÍ 16 - DŮM S BYTY ZVLÁŠTNÍHO URČENÍ</t>
  </si>
  <si>
    <t>Zkrácený popis</t>
  </si>
  <si>
    <t>Rozměry</t>
  </si>
  <si>
    <t>Zdi podpěrné a volné</t>
  </si>
  <si>
    <t>Válcované nosníky do č.12 do připravených otvorů - včetně dodávky profilu U č.12</t>
  </si>
  <si>
    <t>1,7*11,1/1000   ;   mezi P 2 a KO</t>
  </si>
  <si>
    <t>Osazení ocelových válcovaných nosníků do č.12 - včetně dodávky profilu I č.10</t>
  </si>
  <si>
    <t>1,2*8,34/1000   ;  do příčky Př. - P 1</t>
  </si>
  <si>
    <t>Stěny a příčky</t>
  </si>
  <si>
    <t>Příčky z desek Ytong tl. 10 cm</t>
  </si>
  <si>
    <t>1,914*2,65-0,9*1,97   ;  mezi Př a P 1</t>
  </si>
  <si>
    <t>Příčka SDK tl.75 mm,ocel.kce,1x oplášť.,RFI 12,5mm</t>
  </si>
  <si>
    <t>1,189*2,65   ;  WC</t>
  </si>
  <si>
    <t>Zazdívka otvorů pl.do 4 m2, pórobet.tvár.,tl.15 cm</t>
  </si>
  <si>
    <t>0,9*2,05   ;   mezi P 1 a P 2</t>
  </si>
  <si>
    <t>Plentování ocelových nosníků výšky do 20 cm</t>
  </si>
  <si>
    <t>1,7*0,12*2    ;   mezi P 2 a KO</t>
  </si>
  <si>
    <t>1,2*0,10*2    ;  do příčky Př. - P 1</t>
  </si>
  <si>
    <t>Připojení příček ke stáv.konstr. kotva+hřebíky</t>
  </si>
  <si>
    <t>2,65*2+2,0*2</t>
  </si>
  <si>
    <t>Úprava povrchů vnitřní</t>
  </si>
  <si>
    <t>Omítka vnitřní zdiva, MVC, štuková</t>
  </si>
  <si>
    <t>(1,914+2,064)*2,65-0,9*1,97*2   ;  mezi Př. a P 1</t>
  </si>
  <si>
    <t>0,9*2,05*2                                   ;  mezi P 1 a P 2</t>
  </si>
  <si>
    <t>Oprava vápen.omítek stěn do 10 % pl. - štukových   (Opravy po instalacích)</t>
  </si>
  <si>
    <t>(3,45+1,541)*2*2,65-1,4*1,97-1,31*2,06   ;  KO</t>
  </si>
  <si>
    <t>(3,235*2+1,404)*2,65-0,961*2,06-0,8*1,97*3   ;  Př</t>
  </si>
  <si>
    <t>(4,46+3,45)*2*2,65-0,9*1,97-0,9*2,05-1,5*1,5-0,93*2,2   ;  P 1</t>
  </si>
  <si>
    <t>(6,785+3,45)*2*2,65-3,45*2,65-1,4*1,97-0,9*2,05   P  2</t>
  </si>
  <si>
    <t>Omítka vnitřní zdiva, MVC, hladká</t>
  </si>
  <si>
    <t>(1,926+1,948)*2*2,0-0,8*1,97   ;  sprcha</t>
  </si>
  <si>
    <t>(1,186+0,872)*2*1,5-0,8*1,5     ;   WC</t>
  </si>
  <si>
    <t>Úprava povrchů vnější</t>
  </si>
  <si>
    <t>Zateplovací systém Baumit, fasáda, EPS F tl.120 mm - s omítkou SilikonTop K2, lepidlo ProContact</t>
  </si>
  <si>
    <t>1,21*2,76*2   ;   boky na lodžii</t>
  </si>
  <si>
    <t>Zateplovací systém Baumit, fasáda, EPS F tl. 80 mm - s omítkou SilikonTop K2, lepidlo ProContact</t>
  </si>
  <si>
    <t>7,0   ;  podhled lodžie</t>
  </si>
  <si>
    <t>Montáž výztužné sítě(perlinky)do stěrky-vněj.stěny - včetně výztužné sítě a stěrkového tmelu Baumit</t>
  </si>
  <si>
    <t>Stěrka na stěnách silikonová Baumit</t>
  </si>
  <si>
    <t>Podlahy a podlahové konstrukce</t>
  </si>
  <si>
    <t>Vyrovnávací potěr ze směsi Cemix, v pásu, tl.50 mm</t>
  </si>
  <si>
    <t>1,926*1,948    ;    sprcha</t>
  </si>
  <si>
    <t>Výplně otvorů</t>
  </si>
  <si>
    <t>Osazení zárubní dveřních ocelových, pl. do 2,5 m2 - včetně dodávky zárubně  90 x 197 x 11 cm</t>
  </si>
  <si>
    <t>1    ;   mezi Př. a P 1</t>
  </si>
  <si>
    <t>Osazení zárubní dveřních ocelových, pl. do 4,5 m2 - včetně dodávky zárubně 145 x 197 x 11 cm</t>
  </si>
  <si>
    <t>Osazení parapet.desek plast. a lamin. š.nad 20cm - včetně dodávky plastové parapetní desky š. 300 mm</t>
  </si>
  <si>
    <t>Osazení zárubní dveřních ocelových, pl. do 2,5 m2 - včetně dodávky zárubně  90 x 197 x 16 cm</t>
  </si>
  <si>
    <t>1    ;    vstupní do bytu</t>
  </si>
  <si>
    <t>Izolace proti vodě</t>
  </si>
  <si>
    <t>Hydroizolační povlak - nátěr nebo stěrka</t>
  </si>
  <si>
    <t>1,9236*1,429          ;   sprcha</t>
  </si>
  <si>
    <t>1,186*0,872            ;    WC</t>
  </si>
  <si>
    <t>Těsnicí pás do spoje podlaha - stěna FERMACELL</t>
  </si>
  <si>
    <t>(1,926+1,948)*2    ;  sprcha</t>
  </si>
  <si>
    <t>(1,186+0,872)*2    ;   WC</t>
  </si>
  <si>
    <t>Těsnicí pás do svislých koutů</t>
  </si>
  <si>
    <t>2,0*4   ;  sprcha</t>
  </si>
  <si>
    <t>1,5*4    ;   WC</t>
  </si>
  <si>
    <t>Přesun hmot pro izolace proti vodě, výšky do 12 m</t>
  </si>
  <si>
    <t>Izolace tepelné</t>
  </si>
  <si>
    <t>Soudal PU pěna 750 ml</t>
  </si>
  <si>
    <t>Izolace tepelná stěn vložením do konstrukce</t>
  </si>
  <si>
    <t>;tl 80 mm   ;  3,0     ;   mezi hranoly</t>
  </si>
  <si>
    <t>Deska polystyrén fasádní EPS 100 F 1000x500x80 mm</t>
  </si>
  <si>
    <t>;tl 80 mm   ;  3,0 *1,02    ;   mezi hranoly</t>
  </si>
  <si>
    <t>Izolace tepelná stěn přibitím na dřev. konstrukci</t>
  </si>
  <si>
    <t>(2,66*2+3,33*4+0,745*6+0,26*4)*0,06   ;   pod hranoly pro zateplení  PVC stěny</t>
  </si>
  <si>
    <t>Deska polystyrén fasádní EPS 100 F 1000x500x20 mm</t>
  </si>
  <si>
    <t>(2,66*2+3,33*4+0,745*6+0,26*4)*0,06*1,02   ;   pod hranoly pro zateplení  PVC stěny</t>
  </si>
  <si>
    <t>Přesun hmot pro izolace tepelné, výšky do 12 m</t>
  </si>
  <si>
    <t>Vnitřní kanalizace</t>
  </si>
  <si>
    <t>Demontáž zápachové uzávěrky DN 100   vpusti ve sprše</t>
  </si>
  <si>
    <t>Zařizovací předměty</t>
  </si>
  <si>
    <t>Demontáž klozetů kombinovaných</t>
  </si>
  <si>
    <t>Demontáž umyvadel bez výtokových armatur</t>
  </si>
  <si>
    <t>Demontáž dřezů jednodílných na konzolách</t>
  </si>
  <si>
    <t>Demontáž ventilu výtokového nástěnného</t>
  </si>
  <si>
    <t>Demontáž baterie nástěnné do G 3/4</t>
  </si>
  <si>
    <t>Demontáž baterie sprch.diferenciální G 3/4x1</t>
  </si>
  <si>
    <t>Přesun vybour.hmot, zařizovací předměty H 12 m</t>
  </si>
  <si>
    <t>0,0342+0,0195+0,0171+0,0005+0,0016+0,0023</t>
  </si>
  <si>
    <t>Klozet kombi MIO,nádrž s armat. hl. 715 mm, bílý, včetně sedátka. (zvýšené pro invalidní)</t>
  </si>
  <si>
    <t>Umyvadlo na šrouby LYRA Plus , 55 x 45 cm, bílé</t>
  </si>
  <si>
    <t>Odmontování a zpětná montáž sedátka</t>
  </si>
  <si>
    <t>Madlo rovné bílé Novaservis dl. 500 mm</t>
  </si>
  <si>
    <t>Držák na toaletní papír nerezový</t>
  </si>
  <si>
    <t>Ventil rohový bez přípoj. trubičky TE 66 G 1/2</t>
  </si>
  <si>
    <t>Baterie umyvadlová nástěnná ruční - standardní</t>
  </si>
  <si>
    <t>Novaservis Retro sprchová souprava chrom</t>
  </si>
  <si>
    <t>Baterie sprchová nástěnná ruční, bez příslušenství</t>
  </si>
  <si>
    <t>Sedátko sklopné s opěrnou nohou nerez Novaservis</t>
  </si>
  <si>
    <t>Zrcadlo na bílé desce DEEP 58x76x2 cm</t>
  </si>
  <si>
    <t>Montáž koupelnových doplňků - mýdelníků, držáků ap</t>
  </si>
  <si>
    <t>Drátěný mýdelník 135x93x33 Nimco Open</t>
  </si>
  <si>
    <t>Držák na ručníky otočný, 49 cm</t>
  </si>
  <si>
    <t>Madlo dvojité sklopné nerez Novaservis dl. 852 mm</t>
  </si>
  <si>
    <t>Madlo dvojité pevné nerez Novaservis dl. 844 mm</t>
  </si>
  <si>
    <t>Přesun hmot pro zařizovací předměty, výšky do 12 m</t>
  </si>
  <si>
    <t>Rozvod potrubí</t>
  </si>
  <si>
    <t>Demontáž potrubí ocelového závitového do DN 15</t>
  </si>
  <si>
    <t>Potrubí hladké bezešvé nízkotlaké D 22 x 2,6 mm</t>
  </si>
  <si>
    <t>2,5*2</t>
  </si>
  <si>
    <t>Příplatek za zhotovení přípojky DN 15</t>
  </si>
  <si>
    <t>Přesun hmot pro rozvody potrubí, výšky do 24 m</t>
  </si>
  <si>
    <t>Armatury</t>
  </si>
  <si>
    <t>Ventil termostatický, přímý, IVAR.VD DN 15 - s termostatickou hlavicí</t>
  </si>
  <si>
    <t>Šroubení topenářské, přímé, IVAR.SP 603 DN 15</t>
  </si>
  <si>
    <t>Přesun hmot pro armatury, výšky do 24 m</t>
  </si>
  <si>
    <t>Otopná tělesa</t>
  </si>
  <si>
    <t>Úprava - rozšíření stávajícího radiátoru o 6 článků a nová podstavec, montáž vč. dodávky</t>
  </si>
  <si>
    <t>Přesun hmot pro otopná tělesa, výšky do 12 m</t>
  </si>
  <si>
    <t>Konstrukce tesařské</t>
  </si>
  <si>
    <t>Montáž konstrukce stěn z fošen, hranolů do 100 cm2</t>
  </si>
  <si>
    <t>2,66*2+3,33*4+0,745*6+0,26*4   ;   hranoly pro zateplení  PVC stěny</t>
  </si>
  <si>
    <t>Hranol konstrukční masivní KVH NSi 60x60 mm l=5 m</t>
  </si>
  <si>
    <t>(2,66*2+3,33*4+0,745*6+0,26*4)*0,06*0,06*1,1   ;   hranoly pro zateplení  PVC stěny</t>
  </si>
  <si>
    <t>Přesun hmot pro tesařské konstrukce, výšky do 12 m</t>
  </si>
  <si>
    <t>Konstrukce klempířské</t>
  </si>
  <si>
    <t>Oplechování říms z Ti Zn plechu, rš 150 mm</t>
  </si>
  <si>
    <t>4,0    ;    nad zateplení</t>
  </si>
  <si>
    <t>Oplechování říms z Ti Zn plechu, rš 200 mm</t>
  </si>
  <si>
    <t>1,25   ;  pravá strana</t>
  </si>
  <si>
    <t>Lemování Ti Zn plechem zdí,kolem oken,rš 190 mm</t>
  </si>
  <si>
    <t>10,0   ;  lemování kolem oken</t>
  </si>
  <si>
    <t>Přesun hmot pro klempířské konstr., výšky do 12 m</t>
  </si>
  <si>
    <t>Konstrukce truhlářské</t>
  </si>
  <si>
    <t>Demontáž kuchyňských linek do 2,1 m</t>
  </si>
  <si>
    <t>Demontáž vestavěných skříní 1křídlových</t>
  </si>
  <si>
    <t>Montáž vestavěné skříně 1křídlové šatní polic.</t>
  </si>
  <si>
    <t>1+1</t>
  </si>
  <si>
    <t>Vestavěná skříň dřevěná, posuvné dveře s uzamykáním , 1500/600/2400 mm    (tvar určí investor)</t>
  </si>
  <si>
    <t>Vestavěná skříň dřevěná, posuvné dveře s uzamykáním, 1900/600/2400 mm   (tvar určí investor)</t>
  </si>
  <si>
    <t>Montáž dveří do zárubně,otevíravých 1kř.do 0,8 m</t>
  </si>
  <si>
    <t>Montáž dveří do zárubně,otevíravých 2kř.do 1,45 m</t>
  </si>
  <si>
    <t>Dveře vnitřní CPL 0,2 KLASIK 2/3 sklo 2kř. 145x197    (typ určí investor)</t>
  </si>
  <si>
    <t>Kliky se štítem mezip  s ukazatelem 804 Cr</t>
  </si>
  <si>
    <t>Kliky se štítem mezip  804 Cr</t>
  </si>
  <si>
    <t>Dveře vnitřní CPL 0,2 KLASIK plné 1kř. 80x197 cm   (typ určí investor)</t>
  </si>
  <si>
    <t>Montáž dveří do zárubně,otevíravých 1kř.nad 0,8 m</t>
  </si>
  <si>
    <t>Dveře vnitřní CPL 0,2 KLASIK 2/3 sklo 1kř. 90x197    (typ určí investor)</t>
  </si>
  <si>
    <t>Dveře vchodové protipožární EI30 plné 90x197 cm HPL 0,8   (typ určí investor)</t>
  </si>
  <si>
    <t>Cylindrická vložka oboustranná FAB 200RSG 29+70 mm</t>
  </si>
  <si>
    <t>Bezpečnostní kování BK RX802-40 EXCLUSIVE</t>
  </si>
  <si>
    <t>Demontáž a montáž, repase záclon.krytů, bez lišt,tvr.dřevo,do 360 cm</t>
  </si>
  <si>
    <t>Montáž dvířek  2křídl.kompl,do 120x82,5cm</t>
  </si>
  <si>
    <t>Dvířka revizní  2 křídla 80x60 cm, nerez</t>
  </si>
  <si>
    <t>Jídelní stůl 90/90 cm + 2 židle</t>
  </si>
  <si>
    <t>Přesun hmot pro truhlářské konstr., výšky do 12 m</t>
  </si>
  <si>
    <t>Konstrukce doplňkové stavební (zámečnické)</t>
  </si>
  <si>
    <t>Montáž větracích mřížek, typ VM</t>
  </si>
  <si>
    <t>Větrací mřížka 155/300 mm nerez</t>
  </si>
  <si>
    <t>Přesun hmot pro zámečnické konstr., výšky do 12 m</t>
  </si>
  <si>
    <t>Podlahy z dlaždic</t>
  </si>
  <si>
    <t>Penetrace podkladu pod dlažby</t>
  </si>
  <si>
    <t>Montáž podlah keram.,hladké, tmel, 30x30 cm</t>
  </si>
  <si>
    <t>Dlažba Textile 300x300x9 mm  (dle výběru investora)</t>
  </si>
  <si>
    <t>1,9236*1,429*1,02          ;   sprcha</t>
  </si>
  <si>
    <t>1,186*0,872*1,02            ;    WC</t>
  </si>
  <si>
    <t>Příplatek za plochu do 5 m2 jednotlivě</t>
  </si>
  <si>
    <t>Přesun hmot pro podlahy z dlaždic, výšky do 12 m</t>
  </si>
  <si>
    <t>Podlahy povlakové</t>
  </si>
  <si>
    <t>Odstranění PVC a koberců lepených s podložkou - z ploch do 10 m2</t>
  </si>
  <si>
    <t>3,45*1,541   ;  KO</t>
  </si>
  <si>
    <t>3,235*1,404+0,961*0,15   ;  Př</t>
  </si>
  <si>
    <t>Odstranění PVC a koberců lepených s podložkou - z ploch 10 - 20 m2</t>
  </si>
  <si>
    <t>4,46*3,45   ;  P 1</t>
  </si>
  <si>
    <t>Odstranění PVC a koberců lepených s podložkou</t>
  </si>
  <si>
    <t>6,785*3,45   ;  P 2</t>
  </si>
  <si>
    <t>Lepení povlakových podlah z dílců PVC a CV (vinyl)</t>
  </si>
  <si>
    <t>3,45*1,541                        ;  KO</t>
  </si>
  <si>
    <t>4,46*3,45                           ;  P 1</t>
  </si>
  <si>
    <t>6,785*3,45                         ;  P 2</t>
  </si>
  <si>
    <t>Lepení podlahových soklíků z PVC a vinylu - včetně dodávky soklíku PVC</t>
  </si>
  <si>
    <t>(3,45+1,541)*2-0,961+0,15*2-1,4                        ;  KO</t>
  </si>
  <si>
    <t>(3,235+1,404)*2-0,961-0,8*2-0,9*2        ;  Př</t>
  </si>
  <si>
    <t>(4,46+3,45)*2-0,9                           ;  P 1</t>
  </si>
  <si>
    <t>(6,785+3,45)*2-1,4                         ;  P 2</t>
  </si>
  <si>
    <t>Podlahovina PVC Textiline tl. 2 mm š. 2 m (dle výběru investora)</t>
  </si>
  <si>
    <t>3,45*1,541*1,05                        ;  KO</t>
  </si>
  <si>
    <t>(3,235*1,404+0,961*0,15)*1,05   ;  Př</t>
  </si>
  <si>
    <t>4,46*3,45*1,05                           ;  P 1</t>
  </si>
  <si>
    <t>6,785*3,45*1,05                         ;  P 2</t>
  </si>
  <si>
    <t>Přesun hmot pro podlahy povlakové, výšky do 12 m</t>
  </si>
  <si>
    <t>Obklady (keramické)</t>
  </si>
  <si>
    <t>Penetrace podkladu pod obklady</t>
  </si>
  <si>
    <t>(1,186+0,872)*2*1,5-0,8*1,5            ;    WC</t>
  </si>
  <si>
    <t>Montáž obkladů stěn, porovin.,tmel, 20x20,30x15 cm</t>
  </si>
  <si>
    <t>Příplatek k obkladu stěn za plochu do 10 m2 jedntl</t>
  </si>
  <si>
    <t>Lišta hliníková ukončovacích nebo rohová k obkladům</t>
  </si>
  <si>
    <t>(1,926+1,948)*2*2+2,0*6            ;  sprcha</t>
  </si>
  <si>
    <t>(1,186+0,872)*2*2+1,5*6            ;    WC</t>
  </si>
  <si>
    <t>Obkládačka 20x20  lesk</t>
  </si>
  <si>
    <t>((1,926+1,948)*2*2,0-0,8*1,97)*1,02     ;  sprcha</t>
  </si>
  <si>
    <t>((1,186+0,872)*2*1,5-0,8*1,5)*1,02       ;   WC</t>
  </si>
  <si>
    <t>Přesun hmot pro obklady keramické, výšky do 12 m</t>
  </si>
  <si>
    <t>Nátěry</t>
  </si>
  <si>
    <t>Nátěr syntetický kovových konstrukcí 2x + 1x email</t>
  </si>
  <si>
    <t>(1,97*2+0,8)*(0,1+0,05*2)*2 + (1,97*2+0,9)*(0,1+0,05*2)*2 + (1,97*2+1,45)*(0,1+0,05*2)</t>
  </si>
  <si>
    <t>Malby</t>
  </si>
  <si>
    <t>Penetrace podkladu univerzální Primalex 1x</t>
  </si>
  <si>
    <t>6,785*3,45 + (6,785+3,45)*2*2,65-3,45*1,45+4,0   ;  P 1</t>
  </si>
  <si>
    <t>3,45*1,541 + (3,45+1,541)*2*2,65    ;  KO</t>
  </si>
  <si>
    <t>3,235*1,404 + (3,235+1,404)*2*2,65   ;  Př</t>
  </si>
  <si>
    <t>1,926*1,429 + (1,926+1,429)*2*(2,65-2,0)+4,0   ;  SP</t>
  </si>
  <si>
    <t>1,186*0,872 + (1,186+0,872)*2*(2,65-1,5)-0,8*0,47+4,0   ;   WC</t>
  </si>
  <si>
    <t>4,46*1,936+3,86*1,514 + (4,46+3,45)*2*2,65-1,5*1,5-0,93*2,2+4,0  ;  P 1</t>
  </si>
  <si>
    <t>Malba Primalex Standard, bílá, bez penetrace, 2 x</t>
  </si>
  <si>
    <t>Odstranění malby obroušením v místnosti H do 3,8 m</t>
  </si>
  <si>
    <t>Čalounické úpravy</t>
  </si>
  <si>
    <t>Žaluzie horizontální vnitřní AL lamely bílé - včetně dodávky žaluzie</t>
  </si>
  <si>
    <t>1,5*1,45+0,93*2,15 + 1,65*1,45*2</t>
  </si>
  <si>
    <t>Lešení a stavební výtahy</t>
  </si>
  <si>
    <t>Lešení lehké pomocné, výška podlahy do 1,2 m</t>
  </si>
  <si>
    <t>6,785*3,45+1,541*3,45+3,235*1,404+1,926*1,429+1,926*0,875+4,46*1,936+3,86*1,514</t>
  </si>
  <si>
    <t>1,2*1,0*2</t>
  </si>
  <si>
    <t>Montáž lešení leh.řad.s podlahami,š.do 1 m, H 10 m</t>
  </si>
  <si>
    <t>(6,0+1,0*2)*5,6</t>
  </si>
  <si>
    <t>Příplatek za každý měsíc použití lešení k pol.1031</t>
  </si>
  <si>
    <t>Demontáž lešení leh.řad.s podlahami,š.1 m, H 10 m</t>
  </si>
  <si>
    <t>Elektroistalace - silnoproud</t>
  </si>
  <si>
    <t>Rekonstrukce silnoproudých rozvodů - demontáže, montáže, doplnění</t>
  </si>
  <si>
    <t>Bourání konstrukcí</t>
  </si>
  <si>
    <t>Bourání příček z cihel pálených plných tl. 140 mm</t>
  </si>
  <si>
    <t>1,404*2,65-0,775*2,07   ;   mezi Př. a P 1</t>
  </si>
  <si>
    <t>Bourání dlažeb keramických tl.10 mm, nad 1 m2</t>
  </si>
  <si>
    <t>1,926*1,948            ;    sprcha</t>
  </si>
  <si>
    <t>Bourání lehčených mazanin tl. 10 cm, nad 4 m2</t>
  </si>
  <si>
    <t>1,926*1,948*0,05    ;    sprcha</t>
  </si>
  <si>
    <t>Vybourání kovových dveřních zárubní pl. do 2 m2</t>
  </si>
  <si>
    <t>0,9*1,97   ;   vchodové</t>
  </si>
  <si>
    <t>Vyvěšení dřevěných dveřních křídel pl. do 2 m2</t>
  </si>
  <si>
    <t>Vybourání plastových stěn plochy nad 4 m2</t>
  </si>
  <si>
    <t>3,45*2,65   ;   v P 2</t>
  </si>
  <si>
    <t>Vybourání dřevěných stěn plochy do 4 m2</t>
  </si>
  <si>
    <t>0,872*2,65   ;   WC</t>
  </si>
  <si>
    <t>Přisekání rovných ostění cihelných na MVC</t>
  </si>
  <si>
    <t>2,0*0,1*2   ;  špaleta u KO</t>
  </si>
  <si>
    <t>Vysekání rýh zeď cihelná vtah. nosníků 15 x 15 cm</t>
  </si>
  <si>
    <t>1,7    ;  mezi  P 2 a KO</t>
  </si>
  <si>
    <t>Vybourání otv. zeď cihel. pl.4 m2, tl.15 cm, MVC</t>
  </si>
  <si>
    <t>1,5*2,0    ;   mezi P 2 a KO</t>
  </si>
  <si>
    <t>Odsekání vnitřních obkladů stěn nad 2 m2</t>
  </si>
  <si>
    <t>(1,186*2+0,872)*1,5-0,8*1,5     ;  WC</t>
  </si>
  <si>
    <t>Otlučení cementových omítek vnitřních stěn do 100%</t>
  </si>
  <si>
    <t>(1,926+1,948)*2*2,0-0,8*1,97   ;  sprcha  po obkladech</t>
  </si>
  <si>
    <t>Vybourání objímek,držáků apod.ze zdiva cihelného</t>
  </si>
  <si>
    <t>1+1    ;      sedačka + madlo</t>
  </si>
  <si>
    <t>Svislá doprava suti a vybour. hmot za 2.NP nošením</t>
  </si>
  <si>
    <t>;suť         ;  6,5876</t>
  </si>
  <si>
    <t>;odd 725  ;  0,075</t>
  </si>
  <si>
    <t>;odd 766  ;  0,174+0,174</t>
  </si>
  <si>
    <t>Vnitrostaveništní doprava suti do 10 m</t>
  </si>
  <si>
    <t>Vodorovná doprava suti po suchu do 1000 m</t>
  </si>
  <si>
    <t>Příplatek k přesunu suti za každých dalších 1000 m</t>
  </si>
  <si>
    <t>;suť         ;  6,5876*19</t>
  </si>
  <si>
    <t>;odd 725  ;  0,075*19</t>
  </si>
  <si>
    <t>;odd 766  ;  (0,174+0,174)*19</t>
  </si>
  <si>
    <t>Poplatek za uložení suti - směs betonu,cihel,dřeva, skupina odpadu 170904</t>
  </si>
  <si>
    <t>Ostatní přesuny hmot</t>
  </si>
  <si>
    <t>Přesun hmot pro opravy a údržbu do výšky 12 m</t>
  </si>
  <si>
    <t>0,0317+1,9380+1,5888+0,3841+0,1022+0,0631+0,0463</t>
  </si>
  <si>
    <t>Elektroinstalace - slaboproud</t>
  </si>
  <si>
    <t>SLABOPROUDY -   připojení TV</t>
  </si>
  <si>
    <t>Vzduchotechnika</t>
  </si>
  <si>
    <t>Demontáže a propojení odvěrávajícího zařízení WC a sprchy</t>
  </si>
  <si>
    <t>Doba výstavby:</t>
  </si>
  <si>
    <t>Začátek výstavby:</t>
  </si>
  <si>
    <t>Konec výstavby:</t>
  </si>
  <si>
    <t>Zpracováno dne:</t>
  </si>
  <si>
    <t>08.11.2021</t>
  </si>
  <si>
    <t>Objednatel:</t>
  </si>
  <si>
    <t>Projektant:</t>
  </si>
  <si>
    <t>Zhotovitel:</t>
  </si>
  <si>
    <t>Zpracoval:</t>
  </si>
  <si>
    <t>MJ</t>
  </si>
  <si>
    <t>t</t>
  </si>
  <si>
    <t>m2</t>
  </si>
  <si>
    <t>m3</t>
  </si>
  <si>
    <t>m</t>
  </si>
  <si>
    <t>kus</t>
  </si>
  <si>
    <t>%</t>
  </si>
  <si>
    <t>soubor</t>
  </si>
  <si>
    <t>soub</t>
  </si>
  <si>
    <t>Množství</t>
  </si>
  <si>
    <t>Městské zařízení sociálních služeb Karlovy Vary, p</t>
  </si>
  <si>
    <t>Ing Jan Hruška, Josefa Lady 199, K.Vary-Olšová Vra</t>
  </si>
  <si>
    <t> </t>
  </si>
  <si>
    <t>Volek S</t>
  </si>
  <si>
    <t>Cena/MJ</t>
  </si>
  <si>
    <t>(Kč)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</si>
  <si>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</si>
  <si>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</si>
  <si>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</si>
  <si>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</si>
  <si>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</si>
  <si>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</si>
  <si>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</si>
  <si>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2021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</si>
  <si>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</si>
  <si>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</si>
  <si>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</si>
  <si>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</si>
  <si>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</si>
  <si>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</si>
  <si>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</si>
  <si>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</si>
  <si>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</si>
  <si>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31_</t>
  </si>
  <si>
    <t>34_</t>
  </si>
  <si>
    <t>61_</t>
  </si>
  <si>
    <t>62_</t>
  </si>
  <si>
    <t>63_</t>
  </si>
  <si>
    <t>64_</t>
  </si>
  <si>
    <t>711_</t>
  </si>
  <si>
    <t>713_</t>
  </si>
  <si>
    <t>721_</t>
  </si>
  <si>
    <t>725_</t>
  </si>
  <si>
    <t>733_</t>
  </si>
  <si>
    <t>734_</t>
  </si>
  <si>
    <t>735_</t>
  </si>
  <si>
    <t>762_</t>
  </si>
  <si>
    <t>764_</t>
  </si>
  <si>
    <t>766_</t>
  </si>
  <si>
    <t>767_</t>
  </si>
  <si>
    <t>771_</t>
  </si>
  <si>
    <t>776_</t>
  </si>
  <si>
    <t>781_</t>
  </si>
  <si>
    <t>783_</t>
  </si>
  <si>
    <t>784_</t>
  </si>
  <si>
    <t>786_</t>
  </si>
  <si>
    <t>94_</t>
  </si>
  <si>
    <t>M21_</t>
  </si>
  <si>
    <t>96_</t>
  </si>
  <si>
    <t>H99_</t>
  </si>
  <si>
    <t>M22_</t>
  </si>
  <si>
    <t>M24_</t>
  </si>
  <si>
    <t>3_</t>
  </si>
  <si>
    <t>6_</t>
  </si>
  <si>
    <t>71_</t>
  </si>
  <si>
    <t>72_</t>
  </si>
  <si>
    <t>73_</t>
  </si>
  <si>
    <t>76_</t>
  </si>
  <si>
    <t>77_</t>
  </si>
  <si>
    <t>78_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</si>
  <si>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</si>
  <si>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</si>
  <si>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</si>
  <si>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</si>
  <si>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</si>
  <si>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</si>
  <si>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</si>
  <si>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</si>
  <si>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</si>
  <si>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</si>
  <si>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</si>
  <si>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</si>
  <si>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</si>
  <si>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</si>
  <si>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</si>
  <si>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</si>
  <si>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</si>
  <si>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</si>
  <si>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</si>
  <si>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</si>
  <si>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</si>
  <si>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</si>
  <si>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</si>
  <si>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</si>
  <si>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</si>
  <si>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</si>
  <si>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</si>
  <si>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</si>
  <si>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</si>
  <si>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</si>
  <si>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</si>
  <si>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</si>
  <si>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</si>
  <si>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</si>
  <si>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</si>
  <si>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</si>
  <si>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</si>
  <si>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</si>
  <si>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</si>
  <si>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</si>
  <si>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</si>
  <si>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</si>
  <si>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</si>
  <si>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</si>
  <si>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</si>
  <si>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</si>
  <si>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</si>
  <si>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</si>
  <si>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</si>
  <si>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</si>
  <si>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</si>
  <si>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</si>
  <si>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</si>
  <si>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</si>
  <si>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</si>
  <si>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</si>
  <si>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</si>
  <si>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</si>
  <si>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</si>
  <si>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0</t>
  </si>
  <si>
    <t>Zateplovací systém Baumit, fasáda, EPS F tl. 30 mm - s omítkou SilikonTop K2, lepidlo ProContact</t>
  </si>
  <si>
    <t>8,0   ;  na PVC stěně</t>
  </si>
  <si>
    <t>23,0   ;  stěna PVC+ boky lodžie</t>
  </si>
  <si>
    <t>23,0   ;  stěna PVC+boky lodžie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</si>
</sst>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0"/>
      <name val="Arial"/>
    </font>
    <font>
      <sz val="10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56"/>
      <name val="Arial"/>
      <family val="2"/>
      <charset val="238"/>
    </font>
    <font>
      <sz val="10"/>
      <color indexed="61"/>
      <name val="Arial"/>
      <family val="2"/>
      <charset val="238"/>
    </font>
    <font>
      <sz val="10"/>
      <color indexed="62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0"/>
      <color indexed="56"/>
      <name val="Arial"/>
      <family val="2"/>
      <charset val="238"/>
    </font>
    <font>
      <i/>
      <sz val="10"/>
      <color indexed="63"/>
      <name val="Arial"/>
      <family val="2"/>
      <charset val="238"/>
    </font>
    <font>
      <i/>
      <sz val="10"/>
      <color indexed="50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4" fillId="2" borderId="3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4" fillId="2" borderId="4" xfId="0" applyNumberFormat="1" applyFont="1" applyFill="1" applyBorder="1" applyAlignment="1" applyProtection="1">
      <alignment horizontal="left" vertical="center"/>
    </xf>
    <xf numFmtId="49" fontId="6" fillId="0" borderId="4" xfId="0" applyNumberFormat="1" applyFont="1" applyFill="1" applyBorder="1" applyAlignment="1" applyProtection="1">
      <alignment horizontal="left" vertical="center"/>
    </xf>
    <xf numFmtId="49" fontId="5" fillId="0" borderId="5" xfId="0" applyNumberFormat="1" applyFont="1" applyFill="1" applyBorder="1" applyAlignment="1" applyProtection="1">
      <alignment horizontal="left" vertical="center"/>
    </xf>
    <xf numFmtId="0" fontId="1" fillId="0" borderId="6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49" fontId="1" fillId="0" borderId="8" xfId="0" applyNumberFormat="1" applyFont="1" applyFill="1" applyBorder="1" applyAlignment="1" applyProtection="1">
      <alignment horizontal="left" vertical="center"/>
    </xf>
    <xf numFmtId="49" fontId="8" fillId="2" borderId="9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5" fillId="0" borderId="10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49" fontId="4" fillId="2" borderId="9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5" fillId="0" borderId="10" xfId="0" applyNumberFormat="1" applyFont="1" applyFill="1" applyBorder="1" applyAlignment="1" applyProtection="1">
      <alignment horizontal="right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49" fontId="3" fillId="0" borderId="15" xfId="0" applyNumberFormat="1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center" vertical="center"/>
    </xf>
    <xf numFmtId="49" fontId="8" fillId="2" borderId="18" xfId="0" applyNumberFormat="1" applyFont="1" applyFill="1" applyBorder="1" applyAlignment="1" applyProtection="1">
      <alignment horizontal="right" vertical="center"/>
    </xf>
    <xf numFmtId="49" fontId="5" fillId="0" borderId="19" xfId="0" applyNumberFormat="1" applyFont="1" applyFill="1" applyBorder="1" applyAlignment="1" applyProtection="1">
      <alignment horizontal="right" vertical="center"/>
    </xf>
    <xf numFmtId="0" fontId="1" fillId="0" borderId="19" xfId="0" applyNumberFormat="1" applyFont="1" applyFill="1" applyBorder="1" applyAlignment="1" applyProtection="1">
      <alignment vertical="center"/>
    </xf>
    <xf numFmtId="49" fontId="8" fillId="2" borderId="19" xfId="0" applyNumberFormat="1" applyFont="1" applyFill="1" applyBorder="1" applyAlignment="1" applyProtection="1">
      <alignment horizontal="right" vertical="center"/>
    </xf>
    <xf numFmtId="49" fontId="6" fillId="0" borderId="19" xfId="0" applyNumberFormat="1" applyFont="1" applyFill="1" applyBorder="1" applyAlignment="1" applyProtection="1">
      <alignment horizontal="right" vertical="center"/>
    </xf>
    <xf numFmtId="49" fontId="5" fillId="0" borderId="20" xfId="0" applyNumberFormat="1" applyFont="1" applyFill="1" applyBorder="1" applyAlignment="1" applyProtection="1">
      <alignment horizontal="right" vertical="center"/>
    </xf>
    <xf numFmtId="0" fontId="1" fillId="0" borderId="21" xfId="0" applyNumberFormat="1" applyFont="1" applyFill="1" applyBorder="1" applyAlignment="1" applyProtection="1">
      <alignment vertical="center"/>
    </xf>
    <xf numFmtId="49" fontId="8" fillId="2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" fontId="8" fillId="2" borderId="9" xfId="0" applyNumberFormat="1" applyFont="1" applyFill="1" applyBorder="1" applyAlignment="1" applyProtection="1">
      <alignment horizontal="right" vertical="center"/>
    </xf>
    <xf numFmtId="4" fontId="8" fillId="2" borderId="0" xfId="0" applyNumberFormat="1" applyFont="1" applyFill="1" applyBorder="1" applyAlignment="1" applyProtection="1">
      <alignment horizontal="right" vertical="center"/>
    </xf>
    <xf numFmtId="4" fontId="3" fillId="0" borderId="6" xfId="0" applyNumberFormat="1" applyFont="1" applyFill="1" applyBorder="1" applyAlignment="1" applyProtection="1">
      <alignment horizontal="right" vertical="center"/>
    </xf>
    <xf numFmtId="49" fontId="3" fillId="0" borderId="22" xfId="0" applyNumberFormat="1" applyFont="1" applyFill="1" applyBorder="1" applyAlignment="1" applyProtection="1">
      <alignment horizontal="left" vertical="center"/>
    </xf>
    <xf numFmtId="49" fontId="1" fillId="0" borderId="3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3" fillId="0" borderId="23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49" fontId="3" fillId="0" borderId="24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vertical="center"/>
    </xf>
    <xf numFmtId="49" fontId="3" fillId="0" borderId="24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" fontId="1" fillId="0" borderId="9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</xf>
    <xf numFmtId="49" fontId="12" fillId="3" borderId="26" xfId="0" applyNumberFormat="1" applyFont="1" applyFill="1" applyBorder="1" applyAlignment="1" applyProtection="1">
      <alignment horizontal="center" vertical="center"/>
    </xf>
    <xf numFmtId="49" fontId="13" fillId="0" borderId="25" xfId="0" applyNumberFormat="1" applyFont="1" applyFill="1" applyBorder="1" applyAlignment="1" applyProtection="1">
      <alignment horizontal="left" vertical="center"/>
    </xf>
    <xf numFmtId="49" fontId="13" fillId="0" borderId="27" xfId="0" applyNumberFormat="1" applyFont="1" applyFill="1" applyBorder="1" applyAlignment="1" applyProtection="1">
      <alignment horizontal="left" vertical="center"/>
    </xf>
    <xf numFmtId="0" fontId="1" fillId="0" borderId="28" xfId="0" applyNumberFormat="1" applyFont="1" applyFill="1" applyBorder="1" applyAlignment="1" applyProtection="1">
      <alignment vertical="center"/>
    </xf>
    <xf numFmtId="49" fontId="7" fillId="0" borderId="9" xfId="0" applyNumberFormat="1" applyFont="1" applyFill="1" applyBorder="1" applyAlignment="1" applyProtection="1">
      <alignment horizontal="left" vertical="center"/>
    </xf>
    <xf numFmtId="49" fontId="14" fillId="0" borderId="26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vertical="center"/>
    </xf>
    <xf numFmtId="0" fontId="1" fillId="0" borderId="29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4" fontId="14" fillId="0" borderId="26" xfId="0" applyNumberFormat="1" applyFont="1" applyFill="1" applyBorder="1" applyAlignment="1" applyProtection="1">
      <alignment horizontal="right" vertical="center"/>
    </xf>
    <xf numFmtId="49" fontId="14" fillId="0" borderId="26" xfId="0" applyNumberFormat="1" applyFont="1" applyFill="1" applyBorder="1" applyAlignment="1" applyProtection="1">
      <alignment horizontal="right" vertical="center"/>
    </xf>
    <xf numFmtId="4" fontId="14" fillId="0" borderId="14" xfId="0" applyNumberFormat="1" applyFont="1" applyFill="1" applyBorder="1" applyAlignment="1" applyProtection="1">
      <alignment horizontal="right" vertical="center"/>
    </xf>
    <xf numFmtId="0" fontId="1" fillId="0" borderId="18" xfId="0" applyNumberFormat="1" applyFont="1" applyFill="1" applyBorder="1" applyAlignment="1" applyProtection="1">
      <alignment vertical="center"/>
    </xf>
    <xf numFmtId="0" fontId="1" fillId="0" borderId="30" xfId="0" applyNumberFormat="1" applyFont="1" applyFill="1" applyBorder="1" applyAlignment="1" applyProtection="1">
      <alignment vertical="center"/>
    </xf>
    <xf numFmtId="4" fontId="13" fillId="3" borderId="31" xfId="0" applyNumberFormat="1" applyFont="1" applyFill="1" applyBorder="1" applyAlignment="1" applyProtection="1">
      <alignment horizontal="right" vertical="center"/>
    </xf>
    <xf numFmtId="0" fontId="1" fillId="0" borderId="1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164" fontId="5" fillId="0" borderId="10" xfId="0" applyNumberFormat="1" applyFont="1" applyFill="1" applyBorder="1" applyAlignment="1" applyProtection="1">
      <alignment horizontal="right" vertical="center"/>
    </xf>
    <xf numFmtId="49" fontId="16" fillId="0" borderId="4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164" fontId="16" fillId="0" borderId="0" xfId="0" applyNumberFormat="1" applyFont="1" applyFill="1" applyBorder="1" applyAlignment="1" applyProtection="1">
      <alignment horizontal="right" vertical="center"/>
    </xf>
    <xf numFmtId="4" fontId="16" fillId="0" borderId="0" xfId="0" applyNumberFormat="1" applyFont="1" applyFill="1" applyBorder="1" applyAlignment="1" applyProtection="1">
      <alignment horizontal="right" vertical="center"/>
    </xf>
    <xf numFmtId="0" fontId="16" fillId="0" borderId="4" xfId="0" applyNumberFormat="1" applyFont="1" applyFill="1" applyBorder="1" applyAlignment="1" applyProtection="1">
      <alignment vertical="center"/>
    </xf>
    <xf numFmtId="0" fontId="16" fillId="0" borderId="0" xfId="0" applyFont="1" applyFill="1" applyAlignment="1">
      <alignment vertical="center"/>
    </xf>
    <xf numFmtId="49" fontId="17" fillId="0" borderId="0" xfId="0" applyNumberFormat="1" applyFont="1" applyFill="1" applyBorder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right" vertical="center"/>
    </xf>
    <xf numFmtId="49" fontId="14" fillId="0" borderId="21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4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49" fontId="14" fillId="0" borderId="43" xfId="0" applyNumberFormat="1" applyFont="1" applyFill="1" applyBorder="1" applyAlignment="1" applyProtection="1">
      <alignment horizontal="left" vertical="center"/>
    </xf>
    <xf numFmtId="0" fontId="14" fillId="0" borderId="34" xfId="0" applyNumberFormat="1" applyFont="1" applyFill="1" applyBorder="1" applyAlignment="1" applyProtection="1">
      <alignment horizontal="left" vertical="center"/>
    </xf>
    <xf numFmtId="0" fontId="14" fillId="0" borderId="44" xfId="0" applyNumberFormat="1" applyFont="1" applyFill="1" applyBorder="1" applyAlignment="1" applyProtection="1">
      <alignment horizontal="left" vertical="center"/>
    </xf>
    <xf numFmtId="49" fontId="14" fillId="0" borderId="40" xfId="0" applyNumberFormat="1" applyFont="1" applyFill="1" applyBorder="1" applyAlignment="1" applyProtection="1">
      <alignment horizontal="left" vertical="center"/>
    </xf>
    <xf numFmtId="0" fontId="14" fillId="0" borderId="9" xfId="0" applyNumberFormat="1" applyFont="1" applyFill="1" applyBorder="1" applyAlignment="1" applyProtection="1">
      <alignment horizontal="left" vertical="center"/>
    </xf>
    <xf numFmtId="0" fontId="14" fillId="0" borderId="41" xfId="0" applyNumberFormat="1" applyFont="1" applyFill="1" applyBorder="1" applyAlignment="1" applyProtection="1">
      <alignment horizontal="left" vertical="center"/>
    </xf>
    <xf numFmtId="49" fontId="13" fillId="3" borderId="30" xfId="0" applyNumberFormat="1" applyFont="1" applyFill="1" applyBorder="1" applyAlignment="1" applyProtection="1">
      <alignment horizontal="left" vertical="center"/>
    </xf>
    <xf numFmtId="0" fontId="13" fillId="3" borderId="39" xfId="0" applyNumberFormat="1" applyFont="1" applyFill="1" applyBorder="1" applyAlignment="1" applyProtection="1">
      <alignment horizontal="left" vertical="center"/>
    </xf>
    <xf numFmtId="49" fontId="13" fillId="0" borderId="30" xfId="0" applyNumberFormat="1" applyFont="1" applyFill="1" applyBorder="1" applyAlignment="1" applyProtection="1">
      <alignment horizontal="left" vertical="center"/>
    </xf>
    <xf numFmtId="0" fontId="13" fillId="0" borderId="31" xfId="0" applyNumberFormat="1" applyFont="1" applyFill="1" applyBorder="1" applyAlignment="1" applyProtection="1">
      <alignment horizontal="left" vertical="center"/>
    </xf>
    <xf numFmtId="49" fontId="14" fillId="0" borderId="30" xfId="0" applyNumberFormat="1" applyFont="1" applyFill="1" applyBorder="1" applyAlignment="1" applyProtection="1">
      <alignment horizontal="left" vertical="center"/>
    </xf>
    <xf numFmtId="0" fontId="14" fillId="0" borderId="31" xfId="0" applyNumberFormat="1" applyFont="1" applyFill="1" applyBorder="1" applyAlignment="1" applyProtection="1">
      <alignment horizontal="left" vertical="center"/>
    </xf>
    <xf numFmtId="49" fontId="11" fillId="0" borderId="39" xfId="0" applyNumberFormat="1" applyFont="1" applyFill="1" applyBorder="1" applyAlignment="1" applyProtection="1">
      <alignment horizontal="center" vertical="center"/>
    </xf>
    <xf numFmtId="0" fontId="11" fillId="0" borderId="39" xfId="0" applyNumberFormat="1" applyFont="1" applyFill="1" applyBorder="1" applyAlignment="1" applyProtection="1">
      <alignment horizontal="center" vertical="center"/>
    </xf>
    <xf numFmtId="49" fontId="15" fillId="0" borderId="30" xfId="0" applyNumberFormat="1" applyFont="1" applyFill="1" applyBorder="1" applyAlignment="1" applyProtection="1">
      <alignment horizontal="left" vertical="center"/>
    </xf>
    <xf numFmtId="0" fontId="15" fillId="0" borderId="31" xfId="0" applyNumberFormat="1" applyFont="1" applyFill="1" applyBorder="1" applyAlignment="1" applyProtection="1">
      <alignment horizontal="left" vertical="center"/>
    </xf>
    <xf numFmtId="49" fontId="1" fillId="0" borderId="19" xfId="0" applyNumberFormat="1" applyFont="1" applyFill="1" applyBorder="1" applyAlignment="1" applyProtection="1">
      <alignment horizontal="left" vertical="center"/>
    </xf>
    <xf numFmtId="0" fontId="1" fillId="0" borderId="19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49" fontId="1" fillId="0" borderId="29" xfId="0" applyNumberFormat="1" applyFont="1" applyFill="1" applyBorder="1" applyAlignment="1" applyProtection="1">
      <alignment horizontal="left" vertical="center"/>
    </xf>
    <xf numFmtId="0" fontId="1" fillId="0" borderId="35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33" xfId="0" applyNumberFormat="1" applyFont="1" applyFill="1" applyBorder="1" applyAlignment="1" applyProtection="1">
      <alignment horizontal="left" vertical="center"/>
    </xf>
    <xf numFmtId="0" fontId="1" fillId="0" borderId="34" xfId="0" applyNumberFormat="1" applyFont="1" applyFill="1" applyBorder="1" applyAlignment="1" applyProtection="1">
      <alignment horizontal="left" vertical="center"/>
    </xf>
    <xf numFmtId="49" fontId="2" fillId="0" borderId="10" xfId="0" applyNumberFormat="1" applyFont="1" applyFill="1" applyBorder="1" applyAlignment="1" applyProtection="1">
      <alignment horizontal="center"/>
    </xf>
    <xf numFmtId="49" fontId="1" fillId="0" borderId="6" xfId="0" applyNumberFormat="1" applyFont="1" applyFill="1" applyBorder="1" applyAlignment="1" applyProtection="1">
      <alignment horizontal="left" vertical="center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10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18" xfId="0" applyNumberFormat="1" applyFont="1" applyFill="1" applyBorder="1" applyAlignment="1" applyProtection="1">
      <alignment horizontal="left" vertical="center"/>
    </xf>
    <xf numFmtId="49" fontId="3" fillId="0" borderId="36" xfId="0" applyNumberFormat="1" applyFont="1" applyFill="1" applyBorder="1" applyAlignment="1" applyProtection="1">
      <alignment horizontal="center" vertical="center"/>
    </xf>
    <xf numFmtId="0" fontId="3" fillId="0" borderId="37" xfId="0" applyNumberFormat="1" applyFont="1" applyFill="1" applyBorder="1" applyAlignment="1" applyProtection="1">
      <alignment horizontal="center" vertical="center"/>
    </xf>
    <xf numFmtId="0" fontId="3" fillId="0" borderId="38" xfId="0" applyNumberFormat="1" applyFont="1" applyFill="1" applyBorder="1" applyAlignment="1" applyProtection="1">
      <alignment horizontal="center" vertical="center"/>
    </xf>
    <xf numFmtId="49" fontId="3" fillId="0" borderId="33" xfId="0" applyNumberFormat="1" applyFont="1" applyFill="1" applyBorder="1" applyAlignment="1" applyProtection="1">
      <alignment horizontal="left" vertical="center"/>
    </xf>
    <xf numFmtId="0" fontId="3" fillId="0" borderId="34" xfId="0" applyNumberFormat="1" applyFont="1" applyFill="1" applyBorder="1" applyAlignment="1" applyProtection="1">
      <alignment horizontal="left" vertical="center"/>
    </xf>
    <xf numFmtId="0" fontId="3" fillId="0" borderId="35" xfId="0" applyNumberFormat="1" applyFont="1" applyFill="1" applyBorder="1" applyAlignment="1" applyProtection="1">
      <alignment horizontal="left" vertical="center"/>
    </xf>
    <xf numFmtId="49" fontId="8" fillId="2" borderId="9" xfId="0" applyNumberFormat="1" applyFont="1" applyFill="1" applyBorder="1" applyAlignment="1" applyProtection="1">
      <alignment horizontal="left" vertical="center"/>
    </xf>
    <xf numFmtId="0" fontId="8" fillId="2" borderId="9" xfId="0" applyNumberFormat="1" applyFont="1" applyFill="1" applyBorder="1" applyAlignment="1" applyProtection="1">
      <alignment horizontal="left" vertical="center"/>
    </xf>
    <xf numFmtId="0" fontId="1" fillId="0" borderId="29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7</xdr:row>
      <xdr:rowOff>57150</xdr:rowOff>
    </xdr:from>
    <xdr:to>
      <xdr:col>6</xdr:col>
      <xdr:colOff>581025</xdr:colOff>
      <xdr:row>10</xdr:row>
      <xdr:rowOff>114300</xdr:rowOff>
    </xdr:to>
    <xdr:pic>
      <xdr:nvPicPr>
        <xdr:cNvPr id="3074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1952625"/>
          <a:ext cx="9810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I4" sqref="I4:I5"/>
    </sheetView>
  </sheetViews>
  <sheetFormatPr defaultColWidth="11.5546875" defaultRowHeight="13.2" x14ac:dyDescent="0.25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2.88671875" customWidth="1"/>
    <col min="9" max="9" width="22.88671875" customWidth="1"/>
  </cols>
  <sheetData>
    <row r="1" spans="1:10" ht="72.900000000000006" customHeight="1" x14ac:dyDescent="0.25">
      <c r="A1" s="77"/>
      <c r="B1" s="61"/>
      <c r="C1" s="120" t="s">
        <v>693</v>
      </c>
      <c r="D1" s="121"/>
      <c r="E1" s="121"/>
      <c r="F1" s="121"/>
      <c r="G1" s="121"/>
      <c r="H1" s="121"/>
      <c r="I1" s="121"/>
    </row>
    <row r="2" spans="1:10" x14ac:dyDescent="0.25">
      <c r="A2" s="122" t="s">
        <v>1</v>
      </c>
      <c r="B2" s="123"/>
      <c r="C2" s="124" t="str">
        <f>'Stavební rozpočet'!C2</f>
        <v>REKONSTRUKCE - ODLEHČOVACÍ SLUŽBA - DENNÍ STACIONÁŘ 106</v>
      </c>
      <c r="D2" s="125"/>
      <c r="E2" s="127" t="s">
        <v>589</v>
      </c>
      <c r="F2" s="127" t="str">
        <f>'Stavební rozpočet'!I2</f>
        <v>Městské zařízení sociálních služeb Karlovy Vary, p</v>
      </c>
      <c r="G2" s="123"/>
      <c r="H2" s="127" t="s">
        <v>718</v>
      </c>
      <c r="I2" s="128"/>
      <c r="J2" s="5"/>
    </row>
    <row r="3" spans="1:10" x14ac:dyDescent="0.25">
      <c r="A3" s="119"/>
      <c r="B3" s="94"/>
      <c r="C3" s="126"/>
      <c r="D3" s="126"/>
      <c r="E3" s="94"/>
      <c r="F3" s="94"/>
      <c r="G3" s="94"/>
      <c r="H3" s="94"/>
      <c r="I3" s="112"/>
      <c r="J3" s="5"/>
    </row>
    <row r="4" spans="1:10" x14ac:dyDescent="0.25">
      <c r="A4" s="113" t="s">
        <v>2</v>
      </c>
      <c r="B4" s="94"/>
      <c r="C4" s="93" t="str">
        <f>'Stavební rozpočet'!C4</f>
        <v>RT-2139-4</v>
      </c>
      <c r="D4" s="94"/>
      <c r="E4" s="93" t="s">
        <v>590</v>
      </c>
      <c r="F4" s="93" t="str">
        <f>'Stavební rozpočet'!I4</f>
        <v>Ing Jan Hruška, Josefa Lady 199, K.Vary-Olšová Vra</v>
      </c>
      <c r="G4" s="94"/>
      <c r="H4" s="93" t="s">
        <v>718</v>
      </c>
      <c r="I4" s="111"/>
      <c r="J4" s="5"/>
    </row>
    <row r="5" spans="1:10" x14ac:dyDescent="0.25">
      <c r="A5" s="119"/>
      <c r="B5" s="94"/>
      <c r="C5" s="94"/>
      <c r="D5" s="94"/>
      <c r="E5" s="94"/>
      <c r="F5" s="94"/>
      <c r="G5" s="94"/>
      <c r="H5" s="94"/>
      <c r="I5" s="112"/>
      <c r="J5" s="5"/>
    </row>
    <row r="6" spans="1:10" x14ac:dyDescent="0.25">
      <c r="A6" s="113" t="s">
        <v>3</v>
      </c>
      <c r="B6" s="94"/>
      <c r="C6" s="93" t="str">
        <f>'Stavební rozpočet'!C6</f>
        <v>KARLOVY VARY, VÝCHODNÍ 16 - DŮM S BYTY ZVLÁŠTNÍHO URČENÍ</v>
      </c>
      <c r="D6" s="94"/>
      <c r="E6" s="93" t="s">
        <v>591</v>
      </c>
      <c r="F6" s="93" t="str">
        <f>'Stavební rozpočet'!I6</f>
        <v> </v>
      </c>
      <c r="G6" s="94"/>
      <c r="H6" s="93" t="s">
        <v>718</v>
      </c>
      <c r="I6" s="111"/>
      <c r="J6" s="5"/>
    </row>
    <row r="7" spans="1:10" x14ac:dyDescent="0.25">
      <c r="A7" s="119"/>
      <c r="B7" s="94"/>
      <c r="C7" s="94"/>
      <c r="D7" s="94"/>
      <c r="E7" s="94"/>
      <c r="F7" s="94"/>
      <c r="G7" s="94"/>
      <c r="H7" s="94"/>
      <c r="I7" s="112"/>
      <c r="J7" s="5"/>
    </row>
    <row r="8" spans="1:10" x14ac:dyDescent="0.25">
      <c r="A8" s="113" t="s">
        <v>585</v>
      </c>
      <c r="B8" s="94"/>
      <c r="C8" s="93" t="str">
        <f>'Stavební rozpočet'!F4</f>
        <v xml:space="preserve"> </v>
      </c>
      <c r="D8" s="94"/>
      <c r="E8" s="93" t="s">
        <v>586</v>
      </c>
      <c r="F8" s="93" t="str">
        <f>'Stavební rozpočet'!F6</f>
        <v xml:space="preserve"> </v>
      </c>
      <c r="G8" s="94"/>
      <c r="H8" s="116" t="s">
        <v>719</v>
      </c>
      <c r="I8" s="111" t="s">
        <v>149</v>
      </c>
      <c r="J8" s="5"/>
    </row>
    <row r="9" spans="1:10" x14ac:dyDescent="0.25">
      <c r="A9" s="119"/>
      <c r="B9" s="94"/>
      <c r="C9" s="94"/>
      <c r="D9" s="94"/>
      <c r="E9" s="94"/>
      <c r="F9" s="94"/>
      <c r="G9" s="94"/>
      <c r="H9" s="94"/>
      <c r="I9" s="112"/>
      <c r="J9" s="5"/>
    </row>
    <row r="10" spans="1:10" x14ac:dyDescent="0.25">
      <c r="A10" s="113" t="s">
        <v>4</v>
      </c>
      <c r="B10" s="94"/>
      <c r="C10" s="93">
        <f>'Stavební rozpočet'!C8</f>
        <v>803</v>
      </c>
      <c r="D10" s="94"/>
      <c r="E10" s="93" t="s">
        <v>592</v>
      </c>
      <c r="F10" s="93" t="str">
        <f>'Stavební rozpočet'!I8</f>
        <v>Volek S</v>
      </c>
      <c r="G10" s="94"/>
      <c r="H10" s="116" t="s">
        <v>720</v>
      </c>
      <c r="I10" s="117" t="str">
        <f>'Stavební rozpočet'!F8</f>
        <v>08.11.2021</v>
      </c>
      <c r="J10" s="5"/>
    </row>
    <row r="11" spans="1:10" x14ac:dyDescent="0.25">
      <c r="A11" s="114"/>
      <c r="B11" s="115"/>
      <c r="C11" s="115"/>
      <c r="D11" s="115"/>
      <c r="E11" s="115"/>
      <c r="F11" s="115"/>
      <c r="G11" s="115"/>
      <c r="H11" s="115"/>
      <c r="I11" s="118"/>
      <c r="J11" s="5"/>
    </row>
    <row r="12" spans="1:10" ht="23.4" customHeight="1" x14ac:dyDescent="0.25">
      <c r="A12" s="107" t="s">
        <v>678</v>
      </c>
      <c r="B12" s="108"/>
      <c r="C12" s="108"/>
      <c r="D12" s="108"/>
      <c r="E12" s="108"/>
      <c r="F12" s="108"/>
      <c r="G12" s="108"/>
      <c r="H12" s="108"/>
      <c r="I12" s="108"/>
    </row>
    <row r="13" spans="1:10" ht="26.4" customHeight="1" x14ac:dyDescent="0.25">
      <c r="A13" s="62" t="s">
        <v>679</v>
      </c>
      <c r="B13" s="109" t="s">
        <v>691</v>
      </c>
      <c r="C13" s="110"/>
      <c r="D13" s="62" t="s">
        <v>694</v>
      </c>
      <c r="E13" s="109" t="s">
        <v>703</v>
      </c>
      <c r="F13" s="110"/>
      <c r="G13" s="62" t="s">
        <v>704</v>
      </c>
      <c r="H13" s="109" t="s">
        <v>721</v>
      </c>
      <c r="I13" s="110"/>
      <c r="J13" s="5"/>
    </row>
    <row r="14" spans="1:10" ht="15.15" customHeight="1" x14ac:dyDescent="0.25">
      <c r="A14" s="63" t="s">
        <v>680</v>
      </c>
      <c r="B14" s="67" t="s">
        <v>692</v>
      </c>
      <c r="C14" s="71">
        <f>SUM('Stavební rozpočet'!AB12:AB302)</f>
        <v>0</v>
      </c>
      <c r="D14" s="105" t="s">
        <v>695</v>
      </c>
      <c r="E14" s="106"/>
      <c r="F14" s="71">
        <v>0</v>
      </c>
      <c r="G14" s="105" t="s">
        <v>705</v>
      </c>
      <c r="H14" s="106"/>
      <c r="I14" s="72" t="s">
        <v>722</v>
      </c>
      <c r="J14" s="5"/>
    </row>
    <row r="15" spans="1:10" ht="15.15" customHeight="1" x14ac:dyDescent="0.25">
      <c r="A15" s="64"/>
      <c r="B15" s="67" t="s">
        <v>612</v>
      </c>
      <c r="C15" s="71">
        <f>SUM('Stavební rozpočet'!AC12:AC302)</f>
        <v>0</v>
      </c>
      <c r="D15" s="105" t="s">
        <v>696</v>
      </c>
      <c r="E15" s="106"/>
      <c r="F15" s="71">
        <v>0</v>
      </c>
      <c r="G15" s="105" t="s">
        <v>706</v>
      </c>
      <c r="H15" s="106"/>
      <c r="I15" s="72" t="s">
        <v>722</v>
      </c>
      <c r="J15" s="5"/>
    </row>
    <row r="16" spans="1:10" ht="15.15" customHeight="1" x14ac:dyDescent="0.25">
      <c r="A16" s="63" t="s">
        <v>681</v>
      </c>
      <c r="B16" s="67" t="s">
        <v>692</v>
      </c>
      <c r="C16" s="71">
        <f>SUM('Stavební rozpočet'!AD12:AD302)</f>
        <v>0</v>
      </c>
      <c r="D16" s="105" t="s">
        <v>697</v>
      </c>
      <c r="E16" s="106"/>
      <c r="F16" s="71">
        <v>0</v>
      </c>
      <c r="G16" s="105" t="s">
        <v>707</v>
      </c>
      <c r="H16" s="106"/>
      <c r="I16" s="72" t="s">
        <v>722</v>
      </c>
      <c r="J16" s="5"/>
    </row>
    <row r="17" spans="1:10" ht="15.15" customHeight="1" x14ac:dyDescent="0.25">
      <c r="A17" s="64"/>
      <c r="B17" s="67" t="s">
        <v>612</v>
      </c>
      <c r="C17" s="71">
        <f>SUM('Stavební rozpočet'!AE12:AE302)</f>
        <v>0</v>
      </c>
      <c r="D17" s="105"/>
      <c r="E17" s="106"/>
      <c r="F17" s="72"/>
      <c r="G17" s="105" t="s">
        <v>708</v>
      </c>
      <c r="H17" s="106"/>
      <c r="I17" s="72" t="s">
        <v>722</v>
      </c>
      <c r="J17" s="5"/>
    </row>
    <row r="18" spans="1:10" ht="15.15" customHeight="1" x14ac:dyDescent="0.25">
      <c r="A18" s="63" t="s">
        <v>682</v>
      </c>
      <c r="B18" s="67" t="s">
        <v>692</v>
      </c>
      <c r="C18" s="71">
        <f>SUM('Stavební rozpočet'!AF12:AF302)</f>
        <v>0</v>
      </c>
      <c r="D18" s="105"/>
      <c r="E18" s="106"/>
      <c r="F18" s="72"/>
      <c r="G18" s="105" t="s">
        <v>709</v>
      </c>
      <c r="H18" s="106"/>
      <c r="I18" s="72" t="s">
        <v>722</v>
      </c>
      <c r="J18" s="5"/>
    </row>
    <row r="19" spans="1:10" ht="15.15" customHeight="1" x14ac:dyDescent="0.25">
      <c r="A19" s="64"/>
      <c r="B19" s="67" t="s">
        <v>612</v>
      </c>
      <c r="C19" s="71">
        <f>SUM('Stavební rozpočet'!AG12:AG302)</f>
        <v>0</v>
      </c>
      <c r="D19" s="105"/>
      <c r="E19" s="106"/>
      <c r="F19" s="72"/>
      <c r="G19" s="105" t="s">
        <v>710</v>
      </c>
      <c r="H19" s="106"/>
      <c r="I19" s="72" t="s">
        <v>722</v>
      </c>
      <c r="J19" s="5"/>
    </row>
    <row r="20" spans="1:10" ht="15.15" customHeight="1" x14ac:dyDescent="0.25">
      <c r="A20" s="103" t="s">
        <v>683</v>
      </c>
      <c r="B20" s="104"/>
      <c r="C20" s="71">
        <f>SUM('Stavební rozpočet'!AH12:AH302)</f>
        <v>0</v>
      </c>
      <c r="D20" s="105"/>
      <c r="E20" s="106"/>
      <c r="F20" s="72"/>
      <c r="G20" s="105"/>
      <c r="H20" s="106"/>
      <c r="I20" s="72"/>
      <c r="J20" s="5"/>
    </row>
    <row r="21" spans="1:10" ht="15.15" customHeight="1" x14ac:dyDescent="0.25">
      <c r="A21" s="103" t="s">
        <v>684</v>
      </c>
      <c r="B21" s="104"/>
      <c r="C21" s="71">
        <f>SUM('Stavební rozpočet'!Z12:Z302)</f>
        <v>0</v>
      </c>
      <c r="D21" s="105"/>
      <c r="E21" s="106"/>
      <c r="F21" s="72"/>
      <c r="G21" s="105"/>
      <c r="H21" s="106"/>
      <c r="I21" s="72"/>
      <c r="J21" s="5"/>
    </row>
    <row r="22" spans="1:10" ht="16.649999999999999" customHeight="1" x14ac:dyDescent="0.25">
      <c r="A22" s="103" t="s">
        <v>685</v>
      </c>
      <c r="B22" s="104"/>
      <c r="C22" s="71">
        <f>SUM(C14:C21)</f>
        <v>0</v>
      </c>
      <c r="D22" s="103" t="s">
        <v>698</v>
      </c>
      <c r="E22" s="104"/>
      <c r="F22" s="71">
        <f>SUM(F14:F21)</f>
        <v>0</v>
      </c>
      <c r="G22" s="103" t="s">
        <v>711</v>
      </c>
      <c r="H22" s="104"/>
      <c r="I22" s="71">
        <f>SUM(I14:I21)</f>
        <v>0</v>
      </c>
      <c r="J22" s="5"/>
    </row>
    <row r="23" spans="1:10" ht="15.15" customHeight="1" x14ac:dyDescent="0.25">
      <c r="A23" s="9"/>
      <c r="B23" s="9"/>
      <c r="C23" s="69"/>
      <c r="D23" s="103" t="s">
        <v>699</v>
      </c>
      <c r="E23" s="104"/>
      <c r="F23" s="73">
        <v>0</v>
      </c>
      <c r="G23" s="103" t="s">
        <v>712</v>
      </c>
      <c r="H23" s="104"/>
      <c r="I23" s="71">
        <v>0</v>
      </c>
      <c r="J23" s="5"/>
    </row>
    <row r="24" spans="1:10" ht="15.15" customHeight="1" x14ac:dyDescent="0.25">
      <c r="D24" s="9"/>
      <c r="E24" s="9"/>
      <c r="F24" s="74"/>
      <c r="G24" s="103" t="s">
        <v>713</v>
      </c>
      <c r="H24" s="104"/>
      <c r="I24" s="75"/>
    </row>
    <row r="25" spans="1:10" ht="15.15" customHeight="1" x14ac:dyDescent="0.25">
      <c r="F25" s="36"/>
      <c r="G25" s="103" t="s">
        <v>714</v>
      </c>
      <c r="H25" s="104"/>
      <c r="I25" s="71">
        <v>0</v>
      </c>
      <c r="J25" s="5"/>
    </row>
    <row r="26" spans="1:10" x14ac:dyDescent="0.25">
      <c r="A26" s="61"/>
      <c r="B26" s="61"/>
      <c r="C26" s="61"/>
      <c r="G26" s="9"/>
      <c r="H26" s="9"/>
      <c r="I26" s="9"/>
    </row>
    <row r="27" spans="1:10" ht="15.15" customHeight="1" x14ac:dyDescent="0.25">
      <c r="A27" s="101" t="s">
        <v>686</v>
      </c>
      <c r="B27" s="102"/>
      <c r="C27" s="76">
        <f>SUM('Stavební rozpočet'!AJ12:AJ302)</f>
        <v>0</v>
      </c>
      <c r="D27" s="70"/>
      <c r="E27" s="61"/>
      <c r="F27" s="61"/>
      <c r="G27" s="61"/>
      <c r="H27" s="61"/>
      <c r="I27" s="61"/>
    </row>
    <row r="28" spans="1:10" ht="15.15" customHeight="1" x14ac:dyDescent="0.25">
      <c r="A28" s="101" t="s">
        <v>687</v>
      </c>
      <c r="B28" s="102"/>
      <c r="C28" s="76">
        <f>SUM('Stavební rozpočet'!AK12:AK302)+(F22+I22+F23+I23+I24+I25)</f>
        <v>0</v>
      </c>
      <c r="D28" s="101" t="s">
        <v>700</v>
      </c>
      <c r="E28" s="102"/>
      <c r="F28" s="76">
        <f>ROUND(C28*(15/100),2)</f>
        <v>0</v>
      </c>
      <c r="G28" s="101" t="s">
        <v>715</v>
      </c>
      <c r="H28" s="102"/>
      <c r="I28" s="76">
        <f>SUM(C27:C29)</f>
        <v>0</v>
      </c>
      <c r="J28" s="5"/>
    </row>
    <row r="29" spans="1:10" ht="15.15" customHeight="1" x14ac:dyDescent="0.25">
      <c r="A29" s="101" t="s">
        <v>688</v>
      </c>
      <c r="B29" s="102"/>
      <c r="C29" s="76">
        <f>SUM('Stavební rozpočet'!AL12:AL302)</f>
        <v>0</v>
      </c>
      <c r="D29" s="101" t="s">
        <v>701</v>
      </c>
      <c r="E29" s="102"/>
      <c r="F29" s="76">
        <f>ROUND(C29*(21/100),2)</f>
        <v>0</v>
      </c>
      <c r="G29" s="101" t="s">
        <v>716</v>
      </c>
      <c r="H29" s="102"/>
      <c r="I29" s="76">
        <f>SUM(F28:F29)+I28</f>
        <v>0</v>
      </c>
      <c r="J29" s="5"/>
    </row>
    <row r="30" spans="1:10" x14ac:dyDescent="0.25">
      <c r="A30" s="65"/>
      <c r="B30" s="65"/>
      <c r="C30" s="65"/>
      <c r="D30" s="65"/>
      <c r="E30" s="65"/>
      <c r="F30" s="65"/>
      <c r="G30" s="65"/>
      <c r="H30" s="65"/>
      <c r="I30" s="65"/>
    </row>
    <row r="31" spans="1:10" ht="14.4" customHeight="1" x14ac:dyDescent="0.25">
      <c r="A31" s="98" t="s">
        <v>689</v>
      </c>
      <c r="B31" s="99"/>
      <c r="C31" s="100"/>
      <c r="D31" s="98" t="s">
        <v>702</v>
      </c>
      <c r="E31" s="99"/>
      <c r="F31" s="100"/>
      <c r="G31" s="98" t="s">
        <v>717</v>
      </c>
      <c r="H31" s="99"/>
      <c r="I31" s="100"/>
      <c r="J31" s="40"/>
    </row>
    <row r="32" spans="1:10" ht="14.4" customHeight="1" x14ac:dyDescent="0.25">
      <c r="A32" s="90"/>
      <c r="B32" s="91"/>
      <c r="C32" s="92"/>
      <c r="D32" s="90"/>
      <c r="E32" s="91"/>
      <c r="F32" s="92"/>
      <c r="G32" s="90"/>
      <c r="H32" s="91"/>
      <c r="I32" s="92"/>
      <c r="J32" s="40"/>
    </row>
    <row r="33" spans="1:10" ht="14.4" customHeight="1" x14ac:dyDescent="0.25">
      <c r="A33" s="90"/>
      <c r="B33" s="91"/>
      <c r="C33" s="92"/>
      <c r="D33" s="90"/>
      <c r="E33" s="91"/>
      <c r="F33" s="92"/>
      <c r="G33" s="90"/>
      <c r="H33" s="91"/>
      <c r="I33" s="92"/>
      <c r="J33" s="40"/>
    </row>
    <row r="34" spans="1:10" ht="14.4" customHeight="1" x14ac:dyDescent="0.25">
      <c r="A34" s="90"/>
      <c r="B34" s="91"/>
      <c r="C34" s="92"/>
      <c r="D34" s="90"/>
      <c r="E34" s="91"/>
      <c r="F34" s="92"/>
      <c r="G34" s="90"/>
      <c r="H34" s="91"/>
      <c r="I34" s="92"/>
      <c r="J34" s="40"/>
    </row>
    <row r="35" spans="1:10" ht="14.4" customHeight="1" x14ac:dyDescent="0.25">
      <c r="A35" s="95" t="s">
        <v>690</v>
      </c>
      <c r="B35" s="96"/>
      <c r="C35" s="97"/>
      <c r="D35" s="95" t="s">
        <v>690</v>
      </c>
      <c r="E35" s="96"/>
      <c r="F35" s="97"/>
      <c r="G35" s="95" t="s">
        <v>690</v>
      </c>
      <c r="H35" s="96"/>
      <c r="I35" s="97"/>
      <c r="J35" s="40"/>
    </row>
    <row r="36" spans="1:10" ht="11.25" customHeight="1" x14ac:dyDescent="0.25">
      <c r="A36" s="66" t="s">
        <v>150</v>
      </c>
      <c r="B36" s="68"/>
      <c r="C36" s="68"/>
      <c r="D36" s="68"/>
      <c r="E36" s="68"/>
      <c r="F36" s="68"/>
      <c r="G36" s="68"/>
      <c r="H36" s="68"/>
      <c r="I36" s="68"/>
    </row>
    <row r="37" spans="1:10" x14ac:dyDescent="0.25">
      <c r="A37" s="93"/>
      <c r="B37" s="94"/>
      <c r="C37" s="94"/>
      <c r="D37" s="94"/>
      <c r="E37" s="94"/>
      <c r="F37" s="94"/>
      <c r="G37" s="94"/>
      <c r="H37" s="94"/>
      <c r="I37" s="94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1.1811023622047245" right="0.39370078740157483" top="0.59055118110236227" bottom="0.59055118110236227" header="0.51181102362204722" footer="0.51181102362204722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pane ySplit="10" topLeftCell="A11" activePane="bottomLeft" state="frozenSplit"/>
      <selection pane="bottomLeft" sqref="A1:G1"/>
    </sheetView>
  </sheetViews>
  <sheetFormatPr defaultColWidth="11.5546875" defaultRowHeight="13.2" x14ac:dyDescent="0.25"/>
  <cols>
    <col min="1" max="2" width="7.109375" customWidth="1"/>
    <col min="3" max="3" width="57.109375" customWidth="1"/>
    <col min="5" max="5" width="22.109375" customWidth="1"/>
    <col min="6" max="6" width="21" customWidth="1"/>
    <col min="7" max="7" width="20.88671875" customWidth="1"/>
    <col min="8" max="9" width="0" hidden="1" customWidth="1"/>
  </cols>
  <sheetData>
    <row r="1" spans="1:9" ht="72.900000000000006" customHeight="1" x14ac:dyDescent="0.4">
      <c r="A1" s="133" t="s">
        <v>672</v>
      </c>
      <c r="B1" s="121"/>
      <c r="C1" s="121"/>
      <c r="D1" s="121"/>
      <c r="E1" s="121"/>
      <c r="F1" s="121"/>
      <c r="G1" s="121"/>
    </row>
    <row r="2" spans="1:9" x14ac:dyDescent="0.25">
      <c r="A2" s="122" t="s">
        <v>1</v>
      </c>
      <c r="B2" s="123"/>
      <c r="C2" s="124" t="str">
        <f>'Stavební rozpočet'!C2</f>
        <v>REKONSTRUKCE - ODLEHČOVACÍ SLUŽBA - DENNÍ STACIONÁŘ 106</v>
      </c>
      <c r="D2" s="134" t="s">
        <v>584</v>
      </c>
      <c r="E2" s="134" t="s">
        <v>6</v>
      </c>
      <c r="F2" s="127" t="s">
        <v>589</v>
      </c>
      <c r="G2" s="135" t="str">
        <f>'Stavební rozpočet'!I2</f>
        <v>Městské zařízení sociálních služeb Karlovy Vary, p</v>
      </c>
      <c r="H2" s="5"/>
    </row>
    <row r="3" spans="1:9" x14ac:dyDescent="0.25">
      <c r="A3" s="119"/>
      <c r="B3" s="94"/>
      <c r="C3" s="126"/>
      <c r="D3" s="94"/>
      <c r="E3" s="94"/>
      <c r="F3" s="94"/>
      <c r="G3" s="112"/>
      <c r="H3" s="5"/>
    </row>
    <row r="4" spans="1:9" x14ac:dyDescent="0.25">
      <c r="A4" s="113" t="s">
        <v>2</v>
      </c>
      <c r="B4" s="94"/>
      <c r="C4" s="93" t="str">
        <f>'Stavební rozpočet'!C4</f>
        <v>RT-2139-4</v>
      </c>
      <c r="D4" s="116" t="s">
        <v>585</v>
      </c>
      <c r="E4" s="116" t="s">
        <v>6</v>
      </c>
      <c r="F4" s="93" t="s">
        <v>590</v>
      </c>
      <c r="G4" s="117" t="str">
        <f>'Stavební rozpočet'!I4</f>
        <v>Ing Jan Hruška, Josefa Lady 199, K.Vary-Olšová Vra</v>
      </c>
      <c r="H4" s="5"/>
    </row>
    <row r="5" spans="1:9" x14ac:dyDescent="0.25">
      <c r="A5" s="119"/>
      <c r="B5" s="94"/>
      <c r="C5" s="94"/>
      <c r="D5" s="94"/>
      <c r="E5" s="94"/>
      <c r="F5" s="94"/>
      <c r="G5" s="112"/>
      <c r="H5" s="5"/>
    </row>
    <row r="6" spans="1:9" x14ac:dyDescent="0.25">
      <c r="A6" s="113" t="s">
        <v>3</v>
      </c>
      <c r="B6" s="94"/>
      <c r="C6" s="93" t="str">
        <f>'Stavební rozpočet'!C6</f>
        <v>KARLOVY VARY, VÝCHODNÍ 16 - DŮM S BYTY ZVLÁŠTNÍHO URČENÍ</v>
      </c>
      <c r="D6" s="116" t="s">
        <v>586</v>
      </c>
      <c r="E6" s="116" t="s">
        <v>6</v>
      </c>
      <c r="F6" s="93" t="s">
        <v>591</v>
      </c>
      <c r="G6" s="117" t="str">
        <f>'Stavební rozpočet'!I6</f>
        <v> </v>
      </c>
      <c r="H6" s="5"/>
    </row>
    <row r="7" spans="1:9" x14ac:dyDescent="0.25">
      <c r="A7" s="119"/>
      <c r="B7" s="94"/>
      <c r="C7" s="94"/>
      <c r="D7" s="94"/>
      <c r="E7" s="94"/>
      <c r="F7" s="94"/>
      <c r="G7" s="112"/>
      <c r="H7" s="5"/>
    </row>
    <row r="8" spans="1:9" x14ac:dyDescent="0.25">
      <c r="A8" s="113" t="s">
        <v>592</v>
      </c>
      <c r="B8" s="94"/>
      <c r="C8" s="93" t="str">
        <f>'Stavební rozpočet'!I8</f>
        <v>Volek S</v>
      </c>
      <c r="D8" s="116" t="s">
        <v>587</v>
      </c>
      <c r="E8" s="116" t="s">
        <v>588</v>
      </c>
      <c r="F8" s="116" t="s">
        <v>587</v>
      </c>
      <c r="G8" s="117" t="str">
        <f>'Stavební rozpočet'!F8</f>
        <v>08.11.2021</v>
      </c>
      <c r="H8" s="5"/>
    </row>
    <row r="9" spans="1:9" x14ac:dyDescent="0.25">
      <c r="A9" s="131"/>
      <c r="B9" s="132"/>
      <c r="C9" s="132"/>
      <c r="D9" s="115"/>
      <c r="E9" s="132"/>
      <c r="F9" s="132"/>
      <c r="G9" s="129"/>
      <c r="H9" s="5"/>
    </row>
    <row r="10" spans="1:9" x14ac:dyDescent="0.25">
      <c r="A10" s="50" t="s">
        <v>673</v>
      </c>
      <c r="B10" s="53" t="s">
        <v>151</v>
      </c>
      <c r="C10" s="55" t="s">
        <v>319</v>
      </c>
      <c r="D10" s="56"/>
      <c r="E10" s="57" t="s">
        <v>674</v>
      </c>
      <c r="F10" s="57" t="s">
        <v>675</v>
      </c>
      <c r="G10" s="57" t="s">
        <v>676</v>
      </c>
      <c r="H10" s="5"/>
    </row>
    <row r="11" spans="1:9" x14ac:dyDescent="0.25">
      <c r="A11" s="51"/>
      <c r="B11" s="54" t="s">
        <v>37</v>
      </c>
      <c r="C11" s="130" t="s">
        <v>321</v>
      </c>
      <c r="D11" s="94"/>
      <c r="E11" s="59">
        <f>'Stavební rozpočet'!J12</f>
        <v>0</v>
      </c>
      <c r="F11" s="59">
        <f>'Stavební rozpočet'!K12</f>
        <v>0</v>
      </c>
      <c r="G11" s="59">
        <f>'Stavební rozpočet'!L12</f>
        <v>0</v>
      </c>
      <c r="H11" s="42" t="s">
        <v>677</v>
      </c>
      <c r="I11" s="42">
        <f t="shared" ref="I11:I39" si="0">IF(H11="F",0,G11)</f>
        <v>0</v>
      </c>
    </row>
    <row r="12" spans="1:9" x14ac:dyDescent="0.25">
      <c r="A12" s="52"/>
      <c r="B12" s="19" t="s">
        <v>40</v>
      </c>
      <c r="C12" s="116" t="s">
        <v>326</v>
      </c>
      <c r="D12" s="94"/>
      <c r="E12" s="42">
        <f>'Stavební rozpočet'!J17</f>
        <v>0</v>
      </c>
      <c r="F12" s="42">
        <f>'Stavební rozpočet'!K17</f>
        <v>0</v>
      </c>
      <c r="G12" s="42">
        <f>'Stavební rozpočet'!L17</f>
        <v>0</v>
      </c>
      <c r="H12" s="42" t="s">
        <v>677</v>
      </c>
      <c r="I12" s="42">
        <f t="shared" si="0"/>
        <v>0</v>
      </c>
    </row>
    <row r="13" spans="1:9" x14ac:dyDescent="0.25">
      <c r="A13" s="52"/>
      <c r="B13" s="19" t="s">
        <v>67</v>
      </c>
      <c r="C13" s="116" t="s">
        <v>338</v>
      </c>
      <c r="D13" s="94"/>
      <c r="E13" s="42">
        <f>'Stavební rozpočet'!J29</f>
        <v>0</v>
      </c>
      <c r="F13" s="42">
        <f>'Stavební rozpočet'!K29</f>
        <v>0</v>
      </c>
      <c r="G13" s="42">
        <f>'Stavební rozpočet'!L29</f>
        <v>0</v>
      </c>
      <c r="H13" s="42" t="s">
        <v>677</v>
      </c>
      <c r="I13" s="42">
        <f t="shared" si="0"/>
        <v>0</v>
      </c>
    </row>
    <row r="14" spans="1:9" x14ac:dyDescent="0.25">
      <c r="A14" s="52"/>
      <c r="B14" s="19" t="s">
        <v>68</v>
      </c>
      <c r="C14" s="116" t="s">
        <v>350</v>
      </c>
      <c r="D14" s="94"/>
      <c r="E14" s="42">
        <f>'Stavební rozpočet'!J41</f>
        <v>0</v>
      </c>
      <c r="F14" s="42">
        <f>'Stavební rozpočet'!K41</f>
        <v>0</v>
      </c>
      <c r="G14" s="42">
        <f>'Stavební rozpočet'!L41</f>
        <v>0</v>
      </c>
      <c r="H14" s="42" t="s">
        <v>677</v>
      </c>
      <c r="I14" s="42">
        <f t="shared" si="0"/>
        <v>0</v>
      </c>
    </row>
    <row r="15" spans="1:9" x14ac:dyDescent="0.25">
      <c r="A15" s="52"/>
      <c r="B15" s="19" t="s">
        <v>69</v>
      </c>
      <c r="C15" s="116" t="s">
        <v>357</v>
      </c>
      <c r="D15" s="94"/>
      <c r="E15" s="42">
        <f>'Stavební rozpočet'!J52</f>
        <v>0</v>
      </c>
      <c r="F15" s="42">
        <f>'Stavební rozpočet'!K52</f>
        <v>0</v>
      </c>
      <c r="G15" s="42">
        <f>'Stavební rozpočet'!L52</f>
        <v>0</v>
      </c>
      <c r="H15" s="42" t="s">
        <v>677</v>
      </c>
      <c r="I15" s="42">
        <f t="shared" si="0"/>
        <v>0</v>
      </c>
    </row>
    <row r="16" spans="1:9" x14ac:dyDescent="0.25">
      <c r="A16" s="52"/>
      <c r="B16" s="19" t="s">
        <v>70</v>
      </c>
      <c r="C16" s="116" t="s">
        <v>360</v>
      </c>
      <c r="D16" s="94"/>
      <c r="E16" s="42">
        <f>'Stavební rozpočet'!J55</f>
        <v>0</v>
      </c>
      <c r="F16" s="42">
        <f>'Stavební rozpočet'!K55</f>
        <v>0</v>
      </c>
      <c r="G16" s="42">
        <f>'Stavební rozpočet'!L55</f>
        <v>0</v>
      </c>
      <c r="H16" s="42" t="s">
        <v>677</v>
      </c>
      <c r="I16" s="42">
        <f t="shared" si="0"/>
        <v>0</v>
      </c>
    </row>
    <row r="17" spans="1:9" x14ac:dyDescent="0.25">
      <c r="A17" s="52"/>
      <c r="B17" s="19" t="s">
        <v>171</v>
      </c>
      <c r="C17" s="116" t="s">
        <v>367</v>
      </c>
      <c r="D17" s="94"/>
      <c r="E17" s="42">
        <f>'Stavební rozpočet'!J62</f>
        <v>0</v>
      </c>
      <c r="F17" s="42">
        <f>'Stavební rozpočet'!K62</f>
        <v>0</v>
      </c>
      <c r="G17" s="42">
        <f>'Stavební rozpočet'!L62</f>
        <v>0</v>
      </c>
      <c r="H17" s="42" t="s">
        <v>677</v>
      </c>
      <c r="I17" s="42">
        <f t="shared" si="0"/>
        <v>0</v>
      </c>
    </row>
    <row r="18" spans="1:9" x14ac:dyDescent="0.25">
      <c r="A18" s="52"/>
      <c r="B18" s="19" t="s">
        <v>176</v>
      </c>
      <c r="C18" s="116" t="s">
        <v>378</v>
      </c>
      <c r="D18" s="94"/>
      <c r="E18" s="42">
        <f>'Stavební rozpočet'!J75</f>
        <v>0</v>
      </c>
      <c r="F18" s="42">
        <f>'Stavební rozpočet'!K75</f>
        <v>0</v>
      </c>
      <c r="G18" s="42">
        <f>'Stavební rozpočet'!L75</f>
        <v>0</v>
      </c>
      <c r="H18" s="42" t="s">
        <v>677</v>
      </c>
      <c r="I18" s="42">
        <f t="shared" si="0"/>
        <v>0</v>
      </c>
    </row>
    <row r="19" spans="1:9" x14ac:dyDescent="0.25">
      <c r="A19" s="52"/>
      <c r="B19" s="19" t="s">
        <v>183</v>
      </c>
      <c r="C19" s="116" t="s">
        <v>389</v>
      </c>
      <c r="D19" s="94"/>
      <c r="E19" s="42">
        <f>'Stavební rozpočet'!J86</f>
        <v>0</v>
      </c>
      <c r="F19" s="42">
        <f>'Stavební rozpočet'!K86</f>
        <v>0</v>
      </c>
      <c r="G19" s="42">
        <f>'Stavební rozpočet'!L86</f>
        <v>0</v>
      </c>
      <c r="H19" s="42" t="s">
        <v>677</v>
      </c>
      <c r="I19" s="42">
        <f t="shared" si="0"/>
        <v>0</v>
      </c>
    </row>
    <row r="20" spans="1:9" x14ac:dyDescent="0.25">
      <c r="A20" s="52"/>
      <c r="B20" s="19" t="s">
        <v>185</v>
      </c>
      <c r="C20" s="116" t="s">
        <v>391</v>
      </c>
      <c r="D20" s="94"/>
      <c r="E20" s="42">
        <f>'Stavební rozpočet'!J88</f>
        <v>0</v>
      </c>
      <c r="F20" s="42">
        <f>'Stavební rozpočet'!K88</f>
        <v>0</v>
      </c>
      <c r="G20" s="42">
        <f>'Stavební rozpočet'!L88</f>
        <v>0</v>
      </c>
      <c r="H20" s="42" t="s">
        <v>677</v>
      </c>
      <c r="I20" s="42">
        <f t="shared" si="0"/>
        <v>0</v>
      </c>
    </row>
    <row r="21" spans="1:9" x14ac:dyDescent="0.25">
      <c r="A21" s="52"/>
      <c r="B21" s="19" t="s">
        <v>210</v>
      </c>
      <c r="C21" s="116" t="s">
        <v>417</v>
      </c>
      <c r="D21" s="94"/>
      <c r="E21" s="42">
        <f>'Stavební rozpočet'!J114</f>
        <v>0</v>
      </c>
      <c r="F21" s="42">
        <f>'Stavební rozpočet'!K114</f>
        <v>0</v>
      </c>
      <c r="G21" s="42">
        <f>'Stavební rozpočet'!L114</f>
        <v>0</v>
      </c>
      <c r="H21" s="42" t="s">
        <v>677</v>
      </c>
      <c r="I21" s="42">
        <f t="shared" si="0"/>
        <v>0</v>
      </c>
    </row>
    <row r="22" spans="1:9" x14ac:dyDescent="0.25">
      <c r="A22" s="52"/>
      <c r="B22" s="19" t="s">
        <v>215</v>
      </c>
      <c r="C22" s="116" t="s">
        <v>423</v>
      </c>
      <c r="D22" s="94"/>
      <c r="E22" s="42">
        <f>'Stavební rozpočet'!J120</f>
        <v>0</v>
      </c>
      <c r="F22" s="42">
        <f>'Stavební rozpočet'!K120</f>
        <v>0</v>
      </c>
      <c r="G22" s="42">
        <f>'Stavební rozpočet'!L120</f>
        <v>0</v>
      </c>
      <c r="H22" s="42" t="s">
        <v>677</v>
      </c>
      <c r="I22" s="42">
        <f t="shared" si="0"/>
        <v>0</v>
      </c>
    </row>
    <row r="23" spans="1:9" x14ac:dyDescent="0.25">
      <c r="A23" s="52"/>
      <c r="B23" s="19" t="s">
        <v>219</v>
      </c>
      <c r="C23" s="116" t="s">
        <v>427</v>
      </c>
      <c r="D23" s="94"/>
      <c r="E23" s="42">
        <f>'Stavební rozpočet'!J124</f>
        <v>0</v>
      </c>
      <c r="F23" s="42">
        <f>'Stavební rozpočet'!K124</f>
        <v>0</v>
      </c>
      <c r="G23" s="42">
        <f>'Stavební rozpočet'!L124</f>
        <v>0</v>
      </c>
      <c r="H23" s="42" t="s">
        <v>677</v>
      </c>
      <c r="I23" s="42">
        <f t="shared" si="0"/>
        <v>0</v>
      </c>
    </row>
    <row r="24" spans="1:9" x14ac:dyDescent="0.25">
      <c r="A24" s="52"/>
      <c r="B24" s="19" t="s">
        <v>222</v>
      </c>
      <c r="C24" s="116" t="s">
        <v>430</v>
      </c>
      <c r="D24" s="94"/>
      <c r="E24" s="42">
        <f>'Stavební rozpočet'!J127</f>
        <v>0</v>
      </c>
      <c r="F24" s="42">
        <f>'Stavební rozpočet'!K127</f>
        <v>0</v>
      </c>
      <c r="G24" s="42">
        <f>'Stavební rozpočet'!L127</f>
        <v>0</v>
      </c>
      <c r="H24" s="42" t="s">
        <v>677</v>
      </c>
      <c r="I24" s="42">
        <f t="shared" si="0"/>
        <v>0</v>
      </c>
    </row>
    <row r="25" spans="1:9" x14ac:dyDescent="0.25">
      <c r="A25" s="52"/>
      <c r="B25" s="19" t="s">
        <v>226</v>
      </c>
      <c r="C25" s="116" t="s">
        <v>436</v>
      </c>
      <c r="D25" s="94"/>
      <c r="E25" s="42">
        <f>'Stavební rozpočet'!J133</f>
        <v>0</v>
      </c>
      <c r="F25" s="42">
        <f>'Stavební rozpočet'!K133</f>
        <v>0</v>
      </c>
      <c r="G25" s="42">
        <f>'Stavební rozpočet'!L133</f>
        <v>0</v>
      </c>
      <c r="H25" s="42" t="s">
        <v>677</v>
      </c>
      <c r="I25" s="42">
        <f t="shared" si="0"/>
        <v>0</v>
      </c>
    </row>
    <row r="26" spans="1:9" x14ac:dyDescent="0.25">
      <c r="A26" s="52"/>
      <c r="B26" s="19" t="s">
        <v>231</v>
      </c>
      <c r="C26" s="116" t="s">
        <v>444</v>
      </c>
      <c r="D26" s="94"/>
      <c r="E26" s="42">
        <f>'Stavební rozpočet'!J141</f>
        <v>0</v>
      </c>
      <c r="F26" s="42">
        <f>'Stavební rozpočet'!K141</f>
        <v>0</v>
      </c>
      <c r="G26" s="42">
        <f>'Stavební rozpočet'!L141</f>
        <v>0</v>
      </c>
      <c r="H26" s="42" t="s">
        <v>677</v>
      </c>
      <c r="I26" s="42">
        <f t="shared" si="0"/>
        <v>0</v>
      </c>
    </row>
    <row r="27" spans="1:9" x14ac:dyDescent="0.25">
      <c r="A27" s="52"/>
      <c r="B27" s="19" t="s">
        <v>253</v>
      </c>
      <c r="C27" s="116" t="s">
        <v>467</v>
      </c>
      <c r="D27" s="94"/>
      <c r="E27" s="42">
        <f>'Stavební rozpočet'!J164</f>
        <v>0</v>
      </c>
      <c r="F27" s="42">
        <f>'Stavební rozpočet'!K164</f>
        <v>0</v>
      </c>
      <c r="G27" s="42">
        <f>'Stavební rozpočet'!L164</f>
        <v>0</v>
      </c>
      <c r="H27" s="42" t="s">
        <v>677</v>
      </c>
      <c r="I27" s="42">
        <f t="shared" si="0"/>
        <v>0</v>
      </c>
    </row>
    <row r="28" spans="1:9" x14ac:dyDescent="0.25">
      <c r="A28" s="52"/>
      <c r="B28" s="19" t="s">
        <v>257</v>
      </c>
      <c r="C28" s="116" t="s">
        <v>471</v>
      </c>
      <c r="D28" s="94"/>
      <c r="E28" s="42">
        <f>'Stavební rozpočet'!J168</f>
        <v>0</v>
      </c>
      <c r="F28" s="42">
        <f>'Stavební rozpočet'!K168</f>
        <v>0</v>
      </c>
      <c r="G28" s="42">
        <f>'Stavební rozpočet'!L168</f>
        <v>0</v>
      </c>
      <c r="H28" s="42" t="s">
        <v>677</v>
      </c>
      <c r="I28" s="42">
        <f t="shared" si="0"/>
        <v>0</v>
      </c>
    </row>
    <row r="29" spans="1:9" x14ac:dyDescent="0.25">
      <c r="A29" s="52"/>
      <c r="B29" s="19" t="s">
        <v>263</v>
      </c>
      <c r="C29" s="116" t="s">
        <v>479</v>
      </c>
      <c r="D29" s="94"/>
      <c r="E29" s="42">
        <f>'Stavební rozpočet'!J180</f>
        <v>0</v>
      </c>
      <c r="F29" s="42">
        <f>'Stavební rozpočet'!K180</f>
        <v>0</v>
      </c>
      <c r="G29" s="42">
        <f>'Stavební rozpočet'!L180</f>
        <v>0</v>
      </c>
      <c r="H29" s="42" t="s">
        <v>677</v>
      </c>
      <c r="I29" s="42">
        <f t="shared" si="0"/>
        <v>0</v>
      </c>
    </row>
    <row r="30" spans="1:9" x14ac:dyDescent="0.25">
      <c r="A30" s="52"/>
      <c r="B30" s="19" t="s">
        <v>271</v>
      </c>
      <c r="C30" s="116" t="s">
        <v>502</v>
      </c>
      <c r="D30" s="94"/>
      <c r="E30" s="42">
        <f>'Stavební rozpočet'!J204</f>
        <v>0</v>
      </c>
      <c r="F30" s="42">
        <f>'Stavební rozpočet'!K204</f>
        <v>0</v>
      </c>
      <c r="G30" s="42">
        <f>'Stavební rozpočet'!L204</f>
        <v>0</v>
      </c>
      <c r="H30" s="42" t="s">
        <v>677</v>
      </c>
      <c r="I30" s="42">
        <f t="shared" si="0"/>
        <v>0</v>
      </c>
    </row>
    <row r="31" spans="1:9" x14ac:dyDescent="0.25">
      <c r="A31" s="52"/>
      <c r="B31" s="19" t="s">
        <v>278</v>
      </c>
      <c r="C31" s="116" t="s">
        <v>514</v>
      </c>
      <c r="D31" s="94"/>
      <c r="E31" s="42">
        <f>'Stavební rozpočet'!J220</f>
        <v>0</v>
      </c>
      <c r="F31" s="42">
        <f>'Stavební rozpočet'!K220</f>
        <v>0</v>
      </c>
      <c r="G31" s="42">
        <f>'Stavební rozpočet'!L220</f>
        <v>0</v>
      </c>
      <c r="H31" s="42" t="s">
        <v>677</v>
      </c>
      <c r="I31" s="42">
        <f t="shared" si="0"/>
        <v>0</v>
      </c>
    </row>
    <row r="32" spans="1:9" x14ac:dyDescent="0.25">
      <c r="A32" s="52"/>
      <c r="B32" s="19" t="s">
        <v>280</v>
      </c>
      <c r="C32" s="116" t="s">
        <v>517</v>
      </c>
      <c r="D32" s="94"/>
      <c r="E32" s="42">
        <f>'Stavební rozpočet'!J223</f>
        <v>0</v>
      </c>
      <c r="F32" s="42">
        <f>'Stavební rozpočet'!K223</f>
        <v>0</v>
      </c>
      <c r="G32" s="42">
        <f>'Stavební rozpočet'!L223</f>
        <v>0</v>
      </c>
      <c r="H32" s="42" t="s">
        <v>677</v>
      </c>
      <c r="I32" s="42">
        <f t="shared" si="0"/>
        <v>0</v>
      </c>
    </row>
    <row r="33" spans="1:9" x14ac:dyDescent="0.25">
      <c r="A33" s="52"/>
      <c r="B33" s="19" t="s">
        <v>284</v>
      </c>
      <c r="C33" s="116" t="s">
        <v>527</v>
      </c>
      <c r="D33" s="94"/>
      <c r="E33" s="42">
        <f>'Stavební rozpočet'!J233</f>
        <v>0</v>
      </c>
      <c r="F33" s="42">
        <f>'Stavební rozpočet'!K233</f>
        <v>0</v>
      </c>
      <c r="G33" s="42">
        <f>'Stavební rozpočet'!L233</f>
        <v>0</v>
      </c>
      <c r="H33" s="42" t="s">
        <v>677</v>
      </c>
      <c r="I33" s="42">
        <f t="shared" si="0"/>
        <v>0</v>
      </c>
    </row>
    <row r="34" spans="1:9" x14ac:dyDescent="0.25">
      <c r="A34" s="52"/>
      <c r="B34" s="19" t="s">
        <v>100</v>
      </c>
      <c r="C34" s="116" t="s">
        <v>530</v>
      </c>
      <c r="D34" s="94"/>
      <c r="E34" s="42">
        <f>'Stavební rozpočet'!J236</f>
        <v>0</v>
      </c>
      <c r="F34" s="42">
        <f>'Stavební rozpočet'!K236</f>
        <v>0</v>
      </c>
      <c r="G34" s="42">
        <f>'Stavební rozpočet'!L236</f>
        <v>0</v>
      </c>
      <c r="H34" s="42" t="s">
        <v>677</v>
      </c>
      <c r="I34" s="42">
        <f t="shared" si="0"/>
        <v>0</v>
      </c>
    </row>
    <row r="35" spans="1:9" x14ac:dyDescent="0.25">
      <c r="A35" s="52"/>
      <c r="B35" s="19" t="s">
        <v>290</v>
      </c>
      <c r="C35" s="116" t="s">
        <v>538</v>
      </c>
      <c r="D35" s="94"/>
      <c r="E35" s="42">
        <f>'Stavební rozpočet'!J244</f>
        <v>0</v>
      </c>
      <c r="F35" s="42">
        <f>'Stavební rozpočet'!K244</f>
        <v>0</v>
      </c>
      <c r="G35" s="42">
        <f>'Stavební rozpočet'!L244</f>
        <v>0</v>
      </c>
      <c r="H35" s="42" t="s">
        <v>677</v>
      </c>
      <c r="I35" s="42">
        <f t="shared" si="0"/>
        <v>0</v>
      </c>
    </row>
    <row r="36" spans="1:9" x14ac:dyDescent="0.25">
      <c r="A36" s="52"/>
      <c r="B36" s="19" t="s">
        <v>102</v>
      </c>
      <c r="C36" s="116" t="s">
        <v>540</v>
      </c>
      <c r="D36" s="94"/>
      <c r="E36" s="42">
        <f>'Stavební rozpočet'!J246</f>
        <v>0</v>
      </c>
      <c r="F36" s="42">
        <f>'Stavební rozpočet'!K246</f>
        <v>0</v>
      </c>
      <c r="G36" s="42">
        <f>'Stavební rozpočet'!L246</f>
        <v>0</v>
      </c>
      <c r="H36" s="42" t="s">
        <v>677</v>
      </c>
      <c r="I36" s="42">
        <f t="shared" si="0"/>
        <v>0</v>
      </c>
    </row>
    <row r="37" spans="1:9" x14ac:dyDescent="0.25">
      <c r="A37" s="52"/>
      <c r="B37" s="19" t="s">
        <v>310</v>
      </c>
      <c r="C37" s="116" t="s">
        <v>577</v>
      </c>
      <c r="D37" s="94"/>
      <c r="E37" s="42">
        <f>'Stavební rozpočet'!J296</f>
        <v>0</v>
      </c>
      <c r="F37" s="42">
        <f>'Stavební rozpočet'!K296</f>
        <v>0</v>
      </c>
      <c r="G37" s="42">
        <f>'Stavební rozpočet'!L296</f>
        <v>0</v>
      </c>
      <c r="H37" s="42" t="s">
        <v>677</v>
      </c>
      <c r="I37" s="42">
        <f t="shared" si="0"/>
        <v>0</v>
      </c>
    </row>
    <row r="38" spans="1:9" x14ac:dyDescent="0.25">
      <c r="A38" s="52"/>
      <c r="B38" s="19" t="s">
        <v>312</v>
      </c>
      <c r="C38" s="116" t="s">
        <v>580</v>
      </c>
      <c r="D38" s="94"/>
      <c r="E38" s="42">
        <f>'Stavební rozpočet'!J299</f>
        <v>0</v>
      </c>
      <c r="F38" s="42">
        <f>'Stavební rozpočet'!K299</f>
        <v>0</v>
      </c>
      <c r="G38" s="42">
        <f>'Stavební rozpočet'!L299</f>
        <v>0</v>
      </c>
      <c r="H38" s="42" t="s">
        <v>677</v>
      </c>
      <c r="I38" s="42">
        <f t="shared" si="0"/>
        <v>0</v>
      </c>
    </row>
    <row r="39" spans="1:9" x14ac:dyDescent="0.25">
      <c r="A39" s="52"/>
      <c r="B39" s="19" t="s">
        <v>314</v>
      </c>
      <c r="C39" s="116" t="s">
        <v>582</v>
      </c>
      <c r="D39" s="94"/>
      <c r="E39" s="42">
        <f>'Stavební rozpočet'!J301</f>
        <v>0</v>
      </c>
      <c r="F39" s="42">
        <f>'Stavební rozpočet'!K301</f>
        <v>0</v>
      </c>
      <c r="G39" s="42">
        <f>'Stavební rozpočet'!L301</f>
        <v>0</v>
      </c>
      <c r="H39" s="42" t="s">
        <v>677</v>
      </c>
      <c r="I39" s="42">
        <f t="shared" si="0"/>
        <v>0</v>
      </c>
    </row>
    <row r="40" spans="1:9" x14ac:dyDescent="0.25">
      <c r="F40" s="58" t="s">
        <v>611</v>
      </c>
      <c r="G40" s="60">
        <f>SUM(I11:I39)</f>
        <v>0</v>
      </c>
    </row>
  </sheetData>
  <mergeCells count="54">
    <mergeCell ref="A1:G1"/>
    <mergeCell ref="A2:B3"/>
    <mergeCell ref="C2:C3"/>
    <mergeCell ref="D2:D3"/>
    <mergeCell ref="E2:E3"/>
    <mergeCell ref="F2:F3"/>
    <mergeCell ref="G2:G3"/>
    <mergeCell ref="G4:G5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A8:B9"/>
    <mergeCell ref="C8:C9"/>
    <mergeCell ref="D8:D9"/>
    <mergeCell ref="E8:E9"/>
    <mergeCell ref="F8:F9"/>
    <mergeCell ref="G8:G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5:D35"/>
    <mergeCell ref="C36:D36"/>
    <mergeCell ref="C37:D37"/>
    <mergeCell ref="C38:D38"/>
    <mergeCell ref="C39:D39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05"/>
  <sheetViews>
    <sheetView tabSelected="1" workbookViewId="0">
      <pane ySplit="11" topLeftCell="A45" activePane="bottomLeft" state="frozenSplit"/>
      <selection pane="bottomLeft" activeCell="I51" sqref="A46:I51"/>
    </sheetView>
  </sheetViews>
  <sheetFormatPr defaultColWidth="11.5546875" defaultRowHeight="13.2" x14ac:dyDescent="0.25"/>
  <cols>
    <col min="1" max="1" width="3.6640625" customWidth="1"/>
    <col min="2" max="2" width="14.33203125" customWidth="1"/>
    <col min="3" max="3" width="73.44140625" customWidth="1"/>
    <col min="4" max="4" width="13.88671875" customWidth="1"/>
    <col min="7" max="7" width="6.44140625" customWidth="1"/>
    <col min="8" max="8" width="12.88671875" customWidth="1"/>
    <col min="9" max="9" width="12" customWidth="1"/>
    <col min="10" max="12" width="14.33203125" customWidth="1"/>
    <col min="13" max="13" width="11.6640625" customWidth="1"/>
    <col min="25" max="64" width="12.109375" hidden="1" customWidth="1"/>
  </cols>
  <sheetData>
    <row r="1" spans="1:64" ht="72.900000000000006" customHeight="1" x14ac:dyDescent="0.4">
      <c r="A1" s="133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64" x14ac:dyDescent="0.25">
      <c r="A2" s="122" t="s">
        <v>1</v>
      </c>
      <c r="B2" s="123"/>
      <c r="C2" s="124" t="s">
        <v>316</v>
      </c>
      <c r="D2" s="134" t="s">
        <v>584</v>
      </c>
      <c r="E2" s="123"/>
      <c r="F2" s="134" t="s">
        <v>6</v>
      </c>
      <c r="G2" s="127" t="s">
        <v>589</v>
      </c>
      <c r="H2" s="123"/>
      <c r="I2" s="127" t="s">
        <v>603</v>
      </c>
      <c r="J2" s="123"/>
      <c r="K2" s="123"/>
      <c r="L2" s="123"/>
      <c r="M2" s="158"/>
      <c r="N2" s="5"/>
    </row>
    <row r="3" spans="1:64" x14ac:dyDescent="0.25">
      <c r="A3" s="119"/>
      <c r="B3" s="94"/>
      <c r="C3" s="126"/>
      <c r="D3" s="94"/>
      <c r="E3" s="94"/>
      <c r="F3" s="94"/>
      <c r="G3" s="94"/>
      <c r="H3" s="94"/>
      <c r="I3" s="94"/>
      <c r="J3" s="94"/>
      <c r="K3" s="94"/>
      <c r="L3" s="94"/>
      <c r="M3" s="112"/>
      <c r="N3" s="5"/>
    </row>
    <row r="4" spans="1:64" x14ac:dyDescent="0.25">
      <c r="A4" s="113" t="s">
        <v>2</v>
      </c>
      <c r="B4" s="94"/>
      <c r="C4" s="93" t="s">
        <v>317</v>
      </c>
      <c r="D4" s="116" t="s">
        <v>585</v>
      </c>
      <c r="E4" s="94"/>
      <c r="F4" s="116" t="s">
        <v>6</v>
      </c>
      <c r="G4" s="93" t="s">
        <v>590</v>
      </c>
      <c r="H4" s="94"/>
      <c r="I4" s="93" t="s">
        <v>604</v>
      </c>
      <c r="J4" s="94"/>
      <c r="K4" s="94"/>
      <c r="L4" s="94"/>
      <c r="M4" s="112"/>
      <c r="N4" s="5"/>
    </row>
    <row r="5" spans="1:64" x14ac:dyDescent="0.25">
      <c r="A5" s="119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112"/>
      <c r="N5" s="5"/>
    </row>
    <row r="6" spans="1:64" x14ac:dyDescent="0.25">
      <c r="A6" s="113" t="s">
        <v>3</v>
      </c>
      <c r="B6" s="94"/>
      <c r="C6" s="93" t="s">
        <v>318</v>
      </c>
      <c r="D6" s="116" t="s">
        <v>586</v>
      </c>
      <c r="E6" s="94"/>
      <c r="F6" s="116" t="s">
        <v>6</v>
      </c>
      <c r="G6" s="93" t="s">
        <v>591</v>
      </c>
      <c r="H6" s="94"/>
      <c r="I6" s="116" t="s">
        <v>605</v>
      </c>
      <c r="J6" s="94"/>
      <c r="K6" s="94"/>
      <c r="L6" s="94"/>
      <c r="M6" s="112"/>
      <c r="N6" s="5"/>
    </row>
    <row r="7" spans="1:64" x14ac:dyDescent="0.25">
      <c r="A7" s="119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112"/>
      <c r="N7" s="5"/>
    </row>
    <row r="8" spans="1:64" x14ac:dyDescent="0.25">
      <c r="A8" s="113" t="s">
        <v>4</v>
      </c>
      <c r="B8" s="94"/>
      <c r="C8" s="93">
        <v>803</v>
      </c>
      <c r="D8" s="116" t="s">
        <v>587</v>
      </c>
      <c r="E8" s="94"/>
      <c r="F8" s="116" t="s">
        <v>588</v>
      </c>
      <c r="G8" s="93" t="s">
        <v>592</v>
      </c>
      <c r="H8" s="94"/>
      <c r="I8" s="93" t="s">
        <v>606</v>
      </c>
      <c r="J8" s="94"/>
      <c r="K8" s="94"/>
      <c r="L8" s="94"/>
      <c r="M8" s="112"/>
      <c r="N8" s="5"/>
    </row>
    <row r="9" spans="1:64" x14ac:dyDescent="0.25">
      <c r="A9" s="131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29"/>
      <c r="N9" s="5"/>
    </row>
    <row r="10" spans="1:64" x14ac:dyDescent="0.25">
      <c r="A10" s="1" t="s">
        <v>5</v>
      </c>
      <c r="B10" s="11" t="s">
        <v>151</v>
      </c>
      <c r="C10" s="147" t="s">
        <v>319</v>
      </c>
      <c r="D10" s="148"/>
      <c r="E10" s="148"/>
      <c r="F10" s="149"/>
      <c r="G10" s="11" t="s">
        <v>593</v>
      </c>
      <c r="H10" s="23" t="s">
        <v>602</v>
      </c>
      <c r="I10" s="27" t="s">
        <v>607</v>
      </c>
      <c r="J10" s="150" t="s">
        <v>609</v>
      </c>
      <c r="K10" s="151"/>
      <c r="L10" s="152"/>
      <c r="M10" s="32" t="s">
        <v>614</v>
      </c>
      <c r="N10" s="40"/>
      <c r="BK10" s="41" t="s">
        <v>668</v>
      </c>
      <c r="BL10" s="46" t="s">
        <v>671</v>
      </c>
    </row>
    <row r="11" spans="1:64" x14ac:dyDescent="0.25">
      <c r="A11" s="2" t="s">
        <v>6</v>
      </c>
      <c r="B11" s="12" t="s">
        <v>6</v>
      </c>
      <c r="C11" s="153" t="s">
        <v>320</v>
      </c>
      <c r="D11" s="154"/>
      <c r="E11" s="154"/>
      <c r="F11" s="155"/>
      <c r="G11" s="12" t="s">
        <v>6</v>
      </c>
      <c r="H11" s="12" t="s">
        <v>6</v>
      </c>
      <c r="I11" s="28" t="s">
        <v>608</v>
      </c>
      <c r="J11" s="29" t="s">
        <v>610</v>
      </c>
      <c r="K11" s="30" t="s">
        <v>612</v>
      </c>
      <c r="L11" s="31" t="s">
        <v>613</v>
      </c>
      <c r="M11" s="33" t="s">
        <v>615</v>
      </c>
      <c r="N11" s="40"/>
      <c r="Z11" s="41" t="s">
        <v>617</v>
      </c>
      <c r="AA11" s="41" t="s">
        <v>618</v>
      </c>
      <c r="AB11" s="41" t="s">
        <v>619</v>
      </c>
      <c r="AC11" s="41" t="s">
        <v>620</v>
      </c>
      <c r="AD11" s="41" t="s">
        <v>621</v>
      </c>
      <c r="AE11" s="41" t="s">
        <v>622</v>
      </c>
      <c r="AF11" s="41" t="s">
        <v>623</v>
      </c>
      <c r="AG11" s="41" t="s">
        <v>624</v>
      </c>
      <c r="AH11" s="41" t="s">
        <v>625</v>
      </c>
      <c r="BH11" s="41" t="s">
        <v>665</v>
      </c>
      <c r="BI11" s="41" t="s">
        <v>666</v>
      </c>
      <c r="BJ11" s="41" t="s">
        <v>667</v>
      </c>
    </row>
    <row r="12" spans="1:64" x14ac:dyDescent="0.25">
      <c r="A12" s="3"/>
      <c r="B12" s="13" t="s">
        <v>37</v>
      </c>
      <c r="C12" s="156" t="s">
        <v>321</v>
      </c>
      <c r="D12" s="157"/>
      <c r="E12" s="157"/>
      <c r="F12" s="157"/>
      <c r="G12" s="21" t="s">
        <v>6</v>
      </c>
      <c r="H12" s="21" t="s">
        <v>6</v>
      </c>
      <c r="I12" s="21" t="s">
        <v>6</v>
      </c>
      <c r="J12" s="47">
        <f>SUM(J13:J15)</f>
        <v>0</v>
      </c>
      <c r="K12" s="47">
        <f>SUM(K13:K15)</f>
        <v>0</v>
      </c>
      <c r="L12" s="47">
        <f>SUM(L13:L15)</f>
        <v>0</v>
      </c>
      <c r="M12" s="34"/>
      <c r="N12" s="5"/>
      <c r="AI12" s="41"/>
      <c r="AS12" s="48">
        <f>SUM(AJ13:AJ15)</f>
        <v>0</v>
      </c>
      <c r="AT12" s="48">
        <f>SUM(AK13:AK15)</f>
        <v>0</v>
      </c>
      <c r="AU12" s="48">
        <f>SUM(AL13:AL15)</f>
        <v>0</v>
      </c>
    </row>
    <row r="13" spans="1:64" x14ac:dyDescent="0.25">
      <c r="A13" s="4" t="s">
        <v>7</v>
      </c>
      <c r="B13" s="14" t="s">
        <v>152</v>
      </c>
      <c r="C13" s="136" t="s">
        <v>322</v>
      </c>
      <c r="D13" s="137"/>
      <c r="E13" s="137"/>
      <c r="F13" s="137"/>
      <c r="G13" s="14" t="s">
        <v>594</v>
      </c>
      <c r="H13" s="78">
        <v>1.9E-2</v>
      </c>
      <c r="I13" s="24">
        <v>0</v>
      </c>
      <c r="J13" s="24">
        <f>H13*AO13</f>
        <v>0</v>
      </c>
      <c r="K13" s="24">
        <f>H13*AP13</f>
        <v>0</v>
      </c>
      <c r="L13" s="24">
        <f>H13*I13</f>
        <v>0</v>
      </c>
      <c r="M13" s="35" t="s">
        <v>616</v>
      </c>
      <c r="N13" s="5"/>
      <c r="Z13" s="42">
        <f>IF(AQ13="5",BJ13,0)</f>
        <v>0</v>
      </c>
      <c r="AB13" s="42">
        <f>IF(AQ13="1",BH13,0)</f>
        <v>0</v>
      </c>
      <c r="AC13" s="42">
        <f>IF(AQ13="1",BI13,0)</f>
        <v>0</v>
      </c>
      <c r="AD13" s="42">
        <f>IF(AQ13="7",BH13,0)</f>
        <v>0</v>
      </c>
      <c r="AE13" s="42">
        <f>IF(AQ13="7",BI13,0)</f>
        <v>0</v>
      </c>
      <c r="AF13" s="42">
        <f>IF(AQ13="2",BH13,0)</f>
        <v>0</v>
      </c>
      <c r="AG13" s="42">
        <f>IF(AQ13="2",BI13,0)</f>
        <v>0</v>
      </c>
      <c r="AH13" s="42">
        <f>IF(AQ13="0",BJ13,0)</f>
        <v>0</v>
      </c>
      <c r="AI13" s="41"/>
      <c r="AJ13" s="24">
        <f>IF(AN13=0,L13,0)</f>
        <v>0</v>
      </c>
      <c r="AK13" s="24">
        <f>IF(AN13=15,L13,0)</f>
        <v>0</v>
      </c>
      <c r="AL13" s="24">
        <f>IF(AN13=21,L13,0)</f>
        <v>0</v>
      </c>
      <c r="AN13" s="42">
        <v>15</v>
      </c>
      <c r="AO13" s="42">
        <f>I13*0.815528635336825</f>
        <v>0</v>
      </c>
      <c r="AP13" s="42">
        <f>I13*(1-0.815528635336825)</f>
        <v>0</v>
      </c>
      <c r="AQ13" s="43" t="s">
        <v>7</v>
      </c>
      <c r="AV13" s="42">
        <f>AW13+AX13</f>
        <v>0</v>
      </c>
      <c r="AW13" s="42">
        <f>H13*AO13</f>
        <v>0</v>
      </c>
      <c r="AX13" s="42">
        <f>H13*AP13</f>
        <v>0</v>
      </c>
      <c r="AY13" s="45" t="s">
        <v>626</v>
      </c>
      <c r="AZ13" s="45" t="s">
        <v>655</v>
      </c>
      <c r="BA13" s="41" t="s">
        <v>664</v>
      </c>
      <c r="BC13" s="42">
        <f>AW13+AX13</f>
        <v>0</v>
      </c>
      <c r="BD13" s="42">
        <f>I13/(100-BE13)*100</f>
        <v>0</v>
      </c>
      <c r="BE13" s="42">
        <v>0</v>
      </c>
      <c r="BF13" s="42">
        <f>13</f>
        <v>13</v>
      </c>
      <c r="BH13" s="24">
        <f>H13*AO13</f>
        <v>0</v>
      </c>
      <c r="BI13" s="24">
        <f>H13*AP13</f>
        <v>0</v>
      </c>
      <c r="BJ13" s="24">
        <f>H13*I13</f>
        <v>0</v>
      </c>
      <c r="BK13" s="24" t="s">
        <v>669</v>
      </c>
      <c r="BL13" s="42">
        <v>31</v>
      </c>
    </row>
    <row r="14" spans="1:64" x14ac:dyDescent="0.25">
      <c r="A14" s="5"/>
      <c r="C14" s="18" t="s">
        <v>323</v>
      </c>
      <c r="F14" s="20"/>
      <c r="H14" s="79">
        <v>1.9E-2</v>
      </c>
      <c r="M14" s="36"/>
      <c r="N14" s="5"/>
    </row>
    <row r="15" spans="1:64" x14ac:dyDescent="0.25">
      <c r="A15" s="4" t="s">
        <v>8</v>
      </c>
      <c r="B15" s="14" t="s">
        <v>153</v>
      </c>
      <c r="C15" s="136" t="s">
        <v>324</v>
      </c>
      <c r="D15" s="137"/>
      <c r="E15" s="137"/>
      <c r="F15" s="137"/>
      <c r="G15" s="14" t="s">
        <v>594</v>
      </c>
      <c r="H15" s="78">
        <v>0.01</v>
      </c>
      <c r="I15" s="24">
        <v>0</v>
      </c>
      <c r="J15" s="24">
        <f>H15*AO15</f>
        <v>0</v>
      </c>
      <c r="K15" s="24">
        <f>H15*AP15</f>
        <v>0</v>
      </c>
      <c r="L15" s="24">
        <f>H15*I15</f>
        <v>0</v>
      </c>
      <c r="M15" s="35" t="s">
        <v>616</v>
      </c>
      <c r="N15" s="5"/>
      <c r="Z15" s="42">
        <f>IF(AQ15="5",BJ15,0)</f>
        <v>0</v>
      </c>
      <c r="AB15" s="42">
        <f>IF(AQ15="1",BH15,0)</f>
        <v>0</v>
      </c>
      <c r="AC15" s="42">
        <f>IF(AQ15="1",BI15,0)</f>
        <v>0</v>
      </c>
      <c r="AD15" s="42">
        <f>IF(AQ15="7",BH15,0)</f>
        <v>0</v>
      </c>
      <c r="AE15" s="42">
        <f>IF(AQ15="7",BI15,0)</f>
        <v>0</v>
      </c>
      <c r="AF15" s="42">
        <f>IF(AQ15="2",BH15,0)</f>
        <v>0</v>
      </c>
      <c r="AG15" s="42">
        <f>IF(AQ15="2",BI15,0)</f>
        <v>0</v>
      </c>
      <c r="AH15" s="42">
        <f>IF(AQ15="0",BJ15,0)</f>
        <v>0</v>
      </c>
      <c r="AI15" s="41"/>
      <c r="AJ15" s="24">
        <f>IF(AN15=0,L15,0)</f>
        <v>0</v>
      </c>
      <c r="AK15" s="24">
        <f>IF(AN15=15,L15,0)</f>
        <v>0</v>
      </c>
      <c r="AL15" s="24">
        <f>IF(AN15=21,L15,0)</f>
        <v>0</v>
      </c>
      <c r="AN15" s="42">
        <v>15</v>
      </c>
      <c r="AO15" s="42">
        <f>I15*0.791772610663066</f>
        <v>0</v>
      </c>
      <c r="AP15" s="42">
        <f>I15*(1-0.791772610663066)</f>
        <v>0</v>
      </c>
      <c r="AQ15" s="43" t="s">
        <v>7</v>
      </c>
      <c r="AV15" s="42">
        <f>AW15+AX15</f>
        <v>0</v>
      </c>
      <c r="AW15" s="42">
        <f>H15*AO15</f>
        <v>0</v>
      </c>
      <c r="AX15" s="42">
        <f>H15*AP15</f>
        <v>0</v>
      </c>
      <c r="AY15" s="45" t="s">
        <v>626</v>
      </c>
      <c r="AZ15" s="45" t="s">
        <v>655</v>
      </c>
      <c r="BA15" s="41" t="s">
        <v>664</v>
      </c>
      <c r="BC15" s="42">
        <f>AW15+AX15</f>
        <v>0</v>
      </c>
      <c r="BD15" s="42">
        <f>I15/(100-BE15)*100</f>
        <v>0</v>
      </c>
      <c r="BE15" s="42">
        <v>0</v>
      </c>
      <c r="BF15" s="42">
        <f>15</f>
        <v>15</v>
      </c>
      <c r="BH15" s="24">
        <f>H15*AO15</f>
        <v>0</v>
      </c>
      <c r="BI15" s="24">
        <f>H15*AP15</f>
        <v>0</v>
      </c>
      <c r="BJ15" s="24">
        <f>H15*I15</f>
        <v>0</v>
      </c>
      <c r="BK15" s="24" t="s">
        <v>669</v>
      </c>
      <c r="BL15" s="42">
        <v>31</v>
      </c>
    </row>
    <row r="16" spans="1:64" x14ac:dyDescent="0.25">
      <c r="A16" s="5"/>
      <c r="C16" s="18" t="s">
        <v>325</v>
      </c>
      <c r="F16" s="20"/>
      <c r="H16" s="79">
        <v>0.01</v>
      </c>
      <c r="M16" s="36"/>
      <c r="N16" s="5"/>
    </row>
    <row r="17" spans="1:64" x14ac:dyDescent="0.25">
      <c r="A17" s="6"/>
      <c r="B17" s="15" t="s">
        <v>40</v>
      </c>
      <c r="C17" s="141" t="s">
        <v>326</v>
      </c>
      <c r="D17" s="142"/>
      <c r="E17" s="142"/>
      <c r="F17" s="142"/>
      <c r="G17" s="22" t="s">
        <v>6</v>
      </c>
      <c r="H17" s="22" t="s">
        <v>6</v>
      </c>
      <c r="I17" s="22" t="s">
        <v>6</v>
      </c>
      <c r="J17" s="48">
        <f>SUM(J18:J27)</f>
        <v>0</v>
      </c>
      <c r="K17" s="48">
        <f>SUM(K18:K27)</f>
        <v>0</v>
      </c>
      <c r="L17" s="48">
        <f>SUM(L18:L27)</f>
        <v>0</v>
      </c>
      <c r="M17" s="37"/>
      <c r="N17" s="5"/>
      <c r="AI17" s="41"/>
      <c r="AS17" s="48">
        <f>SUM(AJ18:AJ27)</f>
        <v>0</v>
      </c>
      <c r="AT17" s="48">
        <f>SUM(AK18:AK27)</f>
        <v>0</v>
      </c>
      <c r="AU17" s="48">
        <f>SUM(AL18:AL27)</f>
        <v>0</v>
      </c>
    </row>
    <row r="18" spans="1:64" x14ac:dyDescent="0.25">
      <c r="A18" s="4" t="s">
        <v>9</v>
      </c>
      <c r="B18" s="14" t="s">
        <v>154</v>
      </c>
      <c r="C18" s="136" t="s">
        <v>327</v>
      </c>
      <c r="D18" s="137"/>
      <c r="E18" s="137"/>
      <c r="F18" s="137"/>
      <c r="G18" s="14" t="s">
        <v>595</v>
      </c>
      <c r="H18" s="78">
        <v>3.2989999999999999</v>
      </c>
      <c r="I18" s="24">
        <v>0</v>
      </c>
      <c r="J18" s="24">
        <f>H18*AO18</f>
        <v>0</v>
      </c>
      <c r="K18" s="24">
        <f>H18*AP18</f>
        <v>0</v>
      </c>
      <c r="L18" s="24">
        <f>H18*I18</f>
        <v>0</v>
      </c>
      <c r="M18" s="35" t="s">
        <v>616</v>
      </c>
      <c r="N18" s="5"/>
      <c r="Z18" s="42">
        <f>IF(AQ18="5",BJ18,0)</f>
        <v>0</v>
      </c>
      <c r="AB18" s="42">
        <f>IF(AQ18="1",BH18,0)</f>
        <v>0</v>
      </c>
      <c r="AC18" s="42">
        <f>IF(AQ18="1",BI18,0)</f>
        <v>0</v>
      </c>
      <c r="AD18" s="42">
        <f>IF(AQ18="7",BH18,0)</f>
        <v>0</v>
      </c>
      <c r="AE18" s="42">
        <f>IF(AQ18="7",BI18,0)</f>
        <v>0</v>
      </c>
      <c r="AF18" s="42">
        <f>IF(AQ18="2",BH18,0)</f>
        <v>0</v>
      </c>
      <c r="AG18" s="42">
        <f>IF(AQ18="2",BI18,0)</f>
        <v>0</v>
      </c>
      <c r="AH18" s="42">
        <f>IF(AQ18="0",BJ18,0)</f>
        <v>0</v>
      </c>
      <c r="AI18" s="41"/>
      <c r="AJ18" s="24">
        <f>IF(AN18=0,L18,0)</f>
        <v>0</v>
      </c>
      <c r="AK18" s="24">
        <f>IF(AN18=15,L18,0)</f>
        <v>0</v>
      </c>
      <c r="AL18" s="24">
        <f>IF(AN18=21,L18,0)</f>
        <v>0</v>
      </c>
      <c r="AN18" s="42">
        <v>15</v>
      </c>
      <c r="AO18" s="42">
        <f>I18*0.661400988161135</f>
        <v>0</v>
      </c>
      <c r="AP18" s="42">
        <f>I18*(1-0.661400988161135)</f>
        <v>0</v>
      </c>
      <c r="AQ18" s="43" t="s">
        <v>7</v>
      </c>
      <c r="AV18" s="42">
        <f>AW18+AX18</f>
        <v>0</v>
      </c>
      <c r="AW18" s="42">
        <f>H18*AO18</f>
        <v>0</v>
      </c>
      <c r="AX18" s="42">
        <f>H18*AP18</f>
        <v>0</v>
      </c>
      <c r="AY18" s="45" t="s">
        <v>627</v>
      </c>
      <c r="AZ18" s="45" t="s">
        <v>655</v>
      </c>
      <c r="BA18" s="41" t="s">
        <v>664</v>
      </c>
      <c r="BC18" s="42">
        <f>AW18+AX18</f>
        <v>0</v>
      </c>
      <c r="BD18" s="42">
        <f>I18/(100-BE18)*100</f>
        <v>0</v>
      </c>
      <c r="BE18" s="42">
        <v>0</v>
      </c>
      <c r="BF18" s="42">
        <f>18</f>
        <v>18</v>
      </c>
      <c r="BH18" s="24">
        <f>H18*AO18</f>
        <v>0</v>
      </c>
      <c r="BI18" s="24">
        <f>H18*AP18</f>
        <v>0</v>
      </c>
      <c r="BJ18" s="24">
        <f>H18*I18</f>
        <v>0</v>
      </c>
      <c r="BK18" s="24" t="s">
        <v>669</v>
      </c>
      <c r="BL18" s="42">
        <v>34</v>
      </c>
    </row>
    <row r="19" spans="1:64" x14ac:dyDescent="0.25">
      <c r="A19" s="5"/>
      <c r="C19" s="18" t="s">
        <v>328</v>
      </c>
      <c r="F19" s="20"/>
      <c r="H19" s="79">
        <v>3.2989999999999999</v>
      </c>
      <c r="M19" s="36"/>
      <c r="N19" s="5"/>
    </row>
    <row r="20" spans="1:64" x14ac:dyDescent="0.25">
      <c r="A20" s="4" t="s">
        <v>10</v>
      </c>
      <c r="B20" s="14" t="s">
        <v>155</v>
      </c>
      <c r="C20" s="136" t="s">
        <v>329</v>
      </c>
      <c r="D20" s="137"/>
      <c r="E20" s="137"/>
      <c r="F20" s="137"/>
      <c r="G20" s="14" t="s">
        <v>595</v>
      </c>
      <c r="H20" s="78">
        <v>3.1509999999999998</v>
      </c>
      <c r="I20" s="24">
        <v>0</v>
      </c>
      <c r="J20" s="24">
        <f>H20*AO20</f>
        <v>0</v>
      </c>
      <c r="K20" s="24">
        <f>H20*AP20</f>
        <v>0</v>
      </c>
      <c r="L20" s="24">
        <f>H20*I20</f>
        <v>0</v>
      </c>
      <c r="M20" s="35" t="s">
        <v>616</v>
      </c>
      <c r="N20" s="5"/>
      <c r="Z20" s="42">
        <f>IF(AQ20="5",BJ20,0)</f>
        <v>0</v>
      </c>
      <c r="AB20" s="42">
        <f>IF(AQ20="1",BH20,0)</f>
        <v>0</v>
      </c>
      <c r="AC20" s="42">
        <f>IF(AQ20="1",BI20,0)</f>
        <v>0</v>
      </c>
      <c r="AD20" s="42">
        <f>IF(AQ20="7",BH20,0)</f>
        <v>0</v>
      </c>
      <c r="AE20" s="42">
        <f>IF(AQ20="7",BI20,0)</f>
        <v>0</v>
      </c>
      <c r="AF20" s="42">
        <f>IF(AQ20="2",BH20,0)</f>
        <v>0</v>
      </c>
      <c r="AG20" s="42">
        <f>IF(AQ20="2",BI20,0)</f>
        <v>0</v>
      </c>
      <c r="AH20" s="42">
        <f>IF(AQ20="0",BJ20,0)</f>
        <v>0</v>
      </c>
      <c r="AI20" s="41"/>
      <c r="AJ20" s="24">
        <f>IF(AN20=0,L20,0)</f>
        <v>0</v>
      </c>
      <c r="AK20" s="24">
        <f>IF(AN20=15,L20,0)</f>
        <v>0</v>
      </c>
      <c r="AL20" s="24">
        <f>IF(AN20=21,L20,0)</f>
        <v>0</v>
      </c>
      <c r="AN20" s="42">
        <v>15</v>
      </c>
      <c r="AO20" s="42">
        <f>I20*0.52833945720587</f>
        <v>0</v>
      </c>
      <c r="AP20" s="42">
        <f>I20*(1-0.52833945720587)</f>
        <v>0</v>
      </c>
      <c r="AQ20" s="43" t="s">
        <v>7</v>
      </c>
      <c r="AV20" s="42">
        <f>AW20+AX20</f>
        <v>0</v>
      </c>
      <c r="AW20" s="42">
        <f>H20*AO20</f>
        <v>0</v>
      </c>
      <c r="AX20" s="42">
        <f>H20*AP20</f>
        <v>0</v>
      </c>
      <c r="AY20" s="45" t="s">
        <v>627</v>
      </c>
      <c r="AZ20" s="45" t="s">
        <v>655</v>
      </c>
      <c r="BA20" s="41" t="s">
        <v>664</v>
      </c>
      <c r="BC20" s="42">
        <f>AW20+AX20</f>
        <v>0</v>
      </c>
      <c r="BD20" s="42">
        <f>I20/(100-BE20)*100</f>
        <v>0</v>
      </c>
      <c r="BE20" s="42">
        <v>0</v>
      </c>
      <c r="BF20" s="42">
        <f>20</f>
        <v>20</v>
      </c>
      <c r="BH20" s="24">
        <f>H20*AO20</f>
        <v>0</v>
      </c>
      <c r="BI20" s="24">
        <f>H20*AP20</f>
        <v>0</v>
      </c>
      <c r="BJ20" s="24">
        <f>H20*I20</f>
        <v>0</v>
      </c>
      <c r="BK20" s="24" t="s">
        <v>669</v>
      </c>
      <c r="BL20" s="42">
        <v>34</v>
      </c>
    </row>
    <row r="21" spans="1:64" x14ac:dyDescent="0.25">
      <c r="A21" s="5"/>
      <c r="C21" s="18" t="s">
        <v>330</v>
      </c>
      <c r="F21" s="20"/>
      <c r="H21" s="79">
        <v>3.1509999999999998</v>
      </c>
      <c r="M21" s="36"/>
      <c r="N21" s="5"/>
    </row>
    <row r="22" spans="1:64" x14ac:dyDescent="0.25">
      <c r="A22" s="4" t="s">
        <v>11</v>
      </c>
      <c r="B22" s="14" t="s">
        <v>156</v>
      </c>
      <c r="C22" s="136" t="s">
        <v>331</v>
      </c>
      <c r="D22" s="137"/>
      <c r="E22" s="137"/>
      <c r="F22" s="137"/>
      <c r="G22" s="14" t="s">
        <v>596</v>
      </c>
      <c r="H22" s="78">
        <v>1.845</v>
      </c>
      <c r="I22" s="24">
        <v>0</v>
      </c>
      <c r="J22" s="24">
        <f>H22*AO22</f>
        <v>0</v>
      </c>
      <c r="K22" s="24">
        <f>H22*AP22</f>
        <v>0</v>
      </c>
      <c r="L22" s="24">
        <f>H22*I22</f>
        <v>0</v>
      </c>
      <c r="M22" s="35" t="s">
        <v>616</v>
      </c>
      <c r="N22" s="5"/>
      <c r="Z22" s="42">
        <f>IF(AQ22="5",BJ22,0)</f>
        <v>0</v>
      </c>
      <c r="AB22" s="42">
        <f>IF(AQ22="1",BH22,0)</f>
        <v>0</v>
      </c>
      <c r="AC22" s="42">
        <f>IF(AQ22="1",BI22,0)</f>
        <v>0</v>
      </c>
      <c r="AD22" s="42">
        <f>IF(AQ22="7",BH22,0)</f>
        <v>0</v>
      </c>
      <c r="AE22" s="42">
        <f>IF(AQ22="7",BI22,0)</f>
        <v>0</v>
      </c>
      <c r="AF22" s="42">
        <f>IF(AQ22="2",BH22,0)</f>
        <v>0</v>
      </c>
      <c r="AG22" s="42">
        <f>IF(AQ22="2",BI22,0)</f>
        <v>0</v>
      </c>
      <c r="AH22" s="42">
        <f>IF(AQ22="0",BJ22,0)</f>
        <v>0</v>
      </c>
      <c r="AI22" s="41"/>
      <c r="AJ22" s="24">
        <f>IF(AN22=0,L22,0)</f>
        <v>0</v>
      </c>
      <c r="AK22" s="24">
        <f>IF(AN22=15,L22,0)</f>
        <v>0</v>
      </c>
      <c r="AL22" s="24">
        <f>IF(AN22=21,L22,0)</f>
        <v>0</v>
      </c>
      <c r="AN22" s="42">
        <v>15</v>
      </c>
      <c r="AO22" s="42">
        <f>I22*0.764291641385943</f>
        <v>0</v>
      </c>
      <c r="AP22" s="42">
        <f>I22*(1-0.764291641385943)</f>
        <v>0</v>
      </c>
      <c r="AQ22" s="43" t="s">
        <v>7</v>
      </c>
      <c r="AV22" s="42">
        <f>AW22+AX22</f>
        <v>0</v>
      </c>
      <c r="AW22" s="42">
        <f>H22*AO22</f>
        <v>0</v>
      </c>
      <c r="AX22" s="42">
        <f>H22*AP22</f>
        <v>0</v>
      </c>
      <c r="AY22" s="45" t="s">
        <v>627</v>
      </c>
      <c r="AZ22" s="45" t="s">
        <v>655</v>
      </c>
      <c r="BA22" s="41" t="s">
        <v>664</v>
      </c>
      <c r="BC22" s="42">
        <f>AW22+AX22</f>
        <v>0</v>
      </c>
      <c r="BD22" s="42">
        <f>I22/(100-BE22)*100</f>
        <v>0</v>
      </c>
      <c r="BE22" s="42">
        <v>0</v>
      </c>
      <c r="BF22" s="42">
        <f>22</f>
        <v>22</v>
      </c>
      <c r="BH22" s="24">
        <f>H22*AO22</f>
        <v>0</v>
      </c>
      <c r="BI22" s="24">
        <f>H22*AP22</f>
        <v>0</v>
      </c>
      <c r="BJ22" s="24">
        <f>H22*I22</f>
        <v>0</v>
      </c>
      <c r="BK22" s="24" t="s">
        <v>669</v>
      </c>
      <c r="BL22" s="42">
        <v>34</v>
      </c>
    </row>
    <row r="23" spans="1:64" x14ac:dyDescent="0.25">
      <c r="A23" s="5"/>
      <c r="C23" s="18" t="s">
        <v>332</v>
      </c>
      <c r="F23" s="20"/>
      <c r="H23" s="79">
        <v>1.845</v>
      </c>
      <c r="M23" s="36"/>
      <c r="N23" s="5"/>
    </row>
    <row r="24" spans="1:64" x14ac:dyDescent="0.25">
      <c r="A24" s="4" t="s">
        <v>12</v>
      </c>
      <c r="B24" s="14" t="s">
        <v>157</v>
      </c>
      <c r="C24" s="136" t="s">
        <v>333</v>
      </c>
      <c r="D24" s="137"/>
      <c r="E24" s="137"/>
      <c r="F24" s="137"/>
      <c r="G24" s="14" t="s">
        <v>595</v>
      </c>
      <c r="H24" s="78">
        <v>0.64800000000000002</v>
      </c>
      <c r="I24" s="24">
        <v>0</v>
      </c>
      <c r="J24" s="24">
        <f>H24*AO24</f>
        <v>0</v>
      </c>
      <c r="K24" s="24">
        <f>H24*AP24</f>
        <v>0</v>
      </c>
      <c r="L24" s="24">
        <f>H24*I24</f>
        <v>0</v>
      </c>
      <c r="M24" s="35" t="s">
        <v>616</v>
      </c>
      <c r="N24" s="5"/>
      <c r="Z24" s="42">
        <f>IF(AQ24="5",BJ24,0)</f>
        <v>0</v>
      </c>
      <c r="AB24" s="42">
        <f>IF(AQ24="1",BH24,0)</f>
        <v>0</v>
      </c>
      <c r="AC24" s="42">
        <f>IF(AQ24="1",BI24,0)</f>
        <v>0</v>
      </c>
      <c r="AD24" s="42">
        <f>IF(AQ24="7",BH24,0)</f>
        <v>0</v>
      </c>
      <c r="AE24" s="42">
        <f>IF(AQ24="7",BI24,0)</f>
        <v>0</v>
      </c>
      <c r="AF24" s="42">
        <f>IF(AQ24="2",BH24,0)</f>
        <v>0</v>
      </c>
      <c r="AG24" s="42">
        <f>IF(AQ24="2",BI24,0)</f>
        <v>0</v>
      </c>
      <c r="AH24" s="42">
        <f>IF(AQ24="0",BJ24,0)</f>
        <v>0</v>
      </c>
      <c r="AI24" s="41"/>
      <c r="AJ24" s="24">
        <f>IF(AN24=0,L24,0)</f>
        <v>0</v>
      </c>
      <c r="AK24" s="24">
        <f>IF(AN24=15,L24,0)</f>
        <v>0</v>
      </c>
      <c r="AL24" s="24">
        <f>IF(AN24=21,L24,0)</f>
        <v>0</v>
      </c>
      <c r="AN24" s="42">
        <v>15</v>
      </c>
      <c r="AO24" s="42">
        <f>I24*0.430211979094077</f>
        <v>0</v>
      </c>
      <c r="AP24" s="42">
        <f>I24*(1-0.430211979094077)</f>
        <v>0</v>
      </c>
      <c r="AQ24" s="43" t="s">
        <v>7</v>
      </c>
      <c r="AV24" s="42">
        <f>AW24+AX24</f>
        <v>0</v>
      </c>
      <c r="AW24" s="42">
        <f>H24*AO24</f>
        <v>0</v>
      </c>
      <c r="AX24" s="42">
        <f>H24*AP24</f>
        <v>0</v>
      </c>
      <c r="AY24" s="45" t="s">
        <v>627</v>
      </c>
      <c r="AZ24" s="45" t="s">
        <v>655</v>
      </c>
      <c r="BA24" s="41" t="s">
        <v>664</v>
      </c>
      <c r="BC24" s="42">
        <f>AW24+AX24</f>
        <v>0</v>
      </c>
      <c r="BD24" s="42">
        <f>I24/(100-BE24)*100</f>
        <v>0</v>
      </c>
      <c r="BE24" s="42">
        <v>0</v>
      </c>
      <c r="BF24" s="42">
        <f>24</f>
        <v>24</v>
      </c>
      <c r="BH24" s="24">
        <f>H24*AO24</f>
        <v>0</v>
      </c>
      <c r="BI24" s="24">
        <f>H24*AP24</f>
        <v>0</v>
      </c>
      <c r="BJ24" s="24">
        <f>H24*I24</f>
        <v>0</v>
      </c>
      <c r="BK24" s="24" t="s">
        <v>669</v>
      </c>
      <c r="BL24" s="42">
        <v>34</v>
      </c>
    </row>
    <row r="25" spans="1:64" x14ac:dyDescent="0.25">
      <c r="A25" s="5"/>
      <c r="C25" s="18" t="s">
        <v>334</v>
      </c>
      <c r="F25" s="20"/>
      <c r="H25" s="79">
        <v>0.40799999999999997</v>
      </c>
      <c r="M25" s="36"/>
      <c r="N25" s="5"/>
    </row>
    <row r="26" spans="1:64" x14ac:dyDescent="0.25">
      <c r="A26" s="5"/>
      <c r="C26" s="18" t="s">
        <v>335</v>
      </c>
      <c r="F26" s="20"/>
      <c r="H26" s="79">
        <v>0.24</v>
      </c>
      <c r="M26" s="36"/>
      <c r="N26" s="5"/>
    </row>
    <row r="27" spans="1:64" x14ac:dyDescent="0.25">
      <c r="A27" s="4" t="s">
        <v>13</v>
      </c>
      <c r="B27" s="14" t="s">
        <v>158</v>
      </c>
      <c r="C27" s="136" t="s">
        <v>336</v>
      </c>
      <c r="D27" s="137"/>
      <c r="E27" s="137"/>
      <c r="F27" s="137"/>
      <c r="G27" s="14" t="s">
        <v>597</v>
      </c>
      <c r="H27" s="78">
        <v>9.3000000000000007</v>
      </c>
      <c r="I27" s="24">
        <v>0</v>
      </c>
      <c r="J27" s="24">
        <f>H27*AO27</f>
        <v>0</v>
      </c>
      <c r="K27" s="24">
        <f>H27*AP27</f>
        <v>0</v>
      </c>
      <c r="L27" s="24">
        <f>H27*I27</f>
        <v>0</v>
      </c>
      <c r="M27" s="35" t="s">
        <v>616</v>
      </c>
      <c r="N27" s="5"/>
      <c r="Z27" s="42">
        <f>IF(AQ27="5",BJ27,0)</f>
        <v>0</v>
      </c>
      <c r="AB27" s="42">
        <f>IF(AQ27="1",BH27,0)</f>
        <v>0</v>
      </c>
      <c r="AC27" s="42">
        <f>IF(AQ27="1",BI27,0)</f>
        <v>0</v>
      </c>
      <c r="AD27" s="42">
        <f>IF(AQ27="7",BH27,0)</f>
        <v>0</v>
      </c>
      <c r="AE27" s="42">
        <f>IF(AQ27="7",BI27,0)</f>
        <v>0</v>
      </c>
      <c r="AF27" s="42">
        <f>IF(AQ27="2",BH27,0)</f>
        <v>0</v>
      </c>
      <c r="AG27" s="42">
        <f>IF(AQ27="2",BI27,0)</f>
        <v>0</v>
      </c>
      <c r="AH27" s="42">
        <f>IF(AQ27="0",BJ27,0)</f>
        <v>0</v>
      </c>
      <c r="AI27" s="41"/>
      <c r="AJ27" s="24">
        <f>IF(AN27=0,L27,0)</f>
        <v>0</v>
      </c>
      <c r="AK27" s="24">
        <f>IF(AN27=15,L27,0)</f>
        <v>0</v>
      </c>
      <c r="AL27" s="24">
        <f>IF(AN27=21,L27,0)</f>
        <v>0</v>
      </c>
      <c r="AN27" s="42">
        <v>15</v>
      </c>
      <c r="AO27" s="42">
        <f>I27*0.223136798149551</f>
        <v>0</v>
      </c>
      <c r="AP27" s="42">
        <f>I27*(1-0.223136798149551)</f>
        <v>0</v>
      </c>
      <c r="AQ27" s="43" t="s">
        <v>7</v>
      </c>
      <c r="AV27" s="42">
        <f>AW27+AX27</f>
        <v>0</v>
      </c>
      <c r="AW27" s="42">
        <f>H27*AO27</f>
        <v>0</v>
      </c>
      <c r="AX27" s="42">
        <f>H27*AP27</f>
        <v>0</v>
      </c>
      <c r="AY27" s="45" t="s">
        <v>627</v>
      </c>
      <c r="AZ27" s="45" t="s">
        <v>655</v>
      </c>
      <c r="BA27" s="41" t="s">
        <v>664</v>
      </c>
      <c r="BC27" s="42">
        <f>AW27+AX27</f>
        <v>0</v>
      </c>
      <c r="BD27" s="42">
        <f>I27/(100-BE27)*100</f>
        <v>0</v>
      </c>
      <c r="BE27" s="42">
        <v>0</v>
      </c>
      <c r="BF27" s="42">
        <f>27</f>
        <v>27</v>
      </c>
      <c r="BH27" s="24">
        <f>H27*AO27</f>
        <v>0</v>
      </c>
      <c r="BI27" s="24">
        <f>H27*AP27</f>
        <v>0</v>
      </c>
      <c r="BJ27" s="24">
        <f>H27*I27</f>
        <v>0</v>
      </c>
      <c r="BK27" s="24" t="s">
        <v>669</v>
      </c>
      <c r="BL27" s="42">
        <v>34</v>
      </c>
    </row>
    <row r="28" spans="1:64" x14ac:dyDescent="0.25">
      <c r="A28" s="5"/>
      <c r="C28" s="18" t="s">
        <v>337</v>
      </c>
      <c r="F28" s="20"/>
      <c r="H28" s="79">
        <v>9.3000000000000007</v>
      </c>
      <c r="M28" s="36"/>
      <c r="N28" s="5"/>
    </row>
    <row r="29" spans="1:64" x14ac:dyDescent="0.25">
      <c r="A29" s="6"/>
      <c r="B29" s="15" t="s">
        <v>67</v>
      </c>
      <c r="C29" s="141" t="s">
        <v>338</v>
      </c>
      <c r="D29" s="142"/>
      <c r="E29" s="142"/>
      <c r="F29" s="142"/>
      <c r="G29" s="22" t="s">
        <v>6</v>
      </c>
      <c r="H29" s="22" t="s">
        <v>6</v>
      </c>
      <c r="I29" s="22" t="s">
        <v>6</v>
      </c>
      <c r="J29" s="48">
        <f>SUM(J30:J38)</f>
        <v>0</v>
      </c>
      <c r="K29" s="48">
        <f>SUM(K30:K38)</f>
        <v>0</v>
      </c>
      <c r="L29" s="48">
        <f>SUM(L30:L38)</f>
        <v>0</v>
      </c>
      <c r="M29" s="37"/>
      <c r="N29" s="5"/>
      <c r="AI29" s="41"/>
      <c r="AS29" s="48">
        <f>SUM(AJ30:AJ38)</f>
        <v>0</v>
      </c>
      <c r="AT29" s="48">
        <f>SUM(AK30:AK38)</f>
        <v>0</v>
      </c>
      <c r="AU29" s="48">
        <f>SUM(AL30:AL38)</f>
        <v>0</v>
      </c>
    </row>
    <row r="30" spans="1:64" x14ac:dyDescent="0.25">
      <c r="A30" s="4" t="s">
        <v>14</v>
      </c>
      <c r="B30" s="14" t="s">
        <v>159</v>
      </c>
      <c r="C30" s="136" t="s">
        <v>339</v>
      </c>
      <c r="D30" s="137"/>
      <c r="E30" s="137"/>
      <c r="F30" s="137"/>
      <c r="G30" s="14" t="s">
        <v>595</v>
      </c>
      <c r="H30" s="78">
        <v>10.686</v>
      </c>
      <c r="I30" s="24">
        <v>0</v>
      </c>
      <c r="J30" s="24">
        <f>H30*AO30</f>
        <v>0</v>
      </c>
      <c r="K30" s="24">
        <f>H30*AP30</f>
        <v>0</v>
      </c>
      <c r="L30" s="24">
        <f>H30*I30</f>
        <v>0</v>
      </c>
      <c r="M30" s="35" t="s">
        <v>616</v>
      </c>
      <c r="N30" s="5"/>
      <c r="Z30" s="42">
        <f>IF(AQ30="5",BJ30,0)</f>
        <v>0</v>
      </c>
      <c r="AB30" s="42">
        <f>IF(AQ30="1",BH30,0)</f>
        <v>0</v>
      </c>
      <c r="AC30" s="42">
        <f>IF(AQ30="1",BI30,0)</f>
        <v>0</v>
      </c>
      <c r="AD30" s="42">
        <f>IF(AQ30="7",BH30,0)</f>
        <v>0</v>
      </c>
      <c r="AE30" s="42">
        <f>IF(AQ30="7",BI30,0)</f>
        <v>0</v>
      </c>
      <c r="AF30" s="42">
        <f>IF(AQ30="2",BH30,0)</f>
        <v>0</v>
      </c>
      <c r="AG30" s="42">
        <f>IF(AQ30="2",BI30,0)</f>
        <v>0</v>
      </c>
      <c r="AH30" s="42">
        <f>IF(AQ30="0",BJ30,0)</f>
        <v>0</v>
      </c>
      <c r="AI30" s="41"/>
      <c r="AJ30" s="24">
        <f>IF(AN30=0,L30,0)</f>
        <v>0</v>
      </c>
      <c r="AK30" s="24">
        <f>IF(AN30=15,L30,0)</f>
        <v>0</v>
      </c>
      <c r="AL30" s="24">
        <f>IF(AN30=21,L30,0)</f>
        <v>0</v>
      </c>
      <c r="AN30" s="42">
        <v>15</v>
      </c>
      <c r="AO30" s="42">
        <f>I30*0.103800009757998</f>
        <v>0</v>
      </c>
      <c r="AP30" s="42">
        <f>I30*(1-0.103800009757998)</f>
        <v>0</v>
      </c>
      <c r="AQ30" s="43" t="s">
        <v>7</v>
      </c>
      <c r="AV30" s="42">
        <f>AW30+AX30</f>
        <v>0</v>
      </c>
      <c r="AW30" s="42">
        <f>H30*AO30</f>
        <v>0</v>
      </c>
      <c r="AX30" s="42">
        <f>H30*AP30</f>
        <v>0</v>
      </c>
      <c r="AY30" s="45" t="s">
        <v>628</v>
      </c>
      <c r="AZ30" s="45" t="s">
        <v>656</v>
      </c>
      <c r="BA30" s="41" t="s">
        <v>664</v>
      </c>
      <c r="BC30" s="42">
        <f>AW30+AX30</f>
        <v>0</v>
      </c>
      <c r="BD30" s="42">
        <f>I30/(100-BE30)*100</f>
        <v>0</v>
      </c>
      <c r="BE30" s="42">
        <v>0</v>
      </c>
      <c r="BF30" s="42">
        <f>30</f>
        <v>30</v>
      </c>
      <c r="BH30" s="24">
        <f>H30*AO30</f>
        <v>0</v>
      </c>
      <c r="BI30" s="24">
        <f>H30*AP30</f>
        <v>0</v>
      </c>
      <c r="BJ30" s="24">
        <f>H30*I30</f>
        <v>0</v>
      </c>
      <c r="BK30" s="24" t="s">
        <v>669</v>
      </c>
      <c r="BL30" s="42">
        <v>61</v>
      </c>
    </row>
    <row r="31" spans="1:64" x14ac:dyDescent="0.25">
      <c r="A31" s="5"/>
      <c r="C31" s="18" t="s">
        <v>340</v>
      </c>
      <c r="F31" s="20"/>
      <c r="H31" s="79">
        <v>6.9960000000000004</v>
      </c>
      <c r="M31" s="36"/>
      <c r="N31" s="5"/>
    </row>
    <row r="32" spans="1:64" x14ac:dyDescent="0.25">
      <c r="A32" s="5"/>
      <c r="C32" s="18" t="s">
        <v>341</v>
      </c>
      <c r="F32" s="20"/>
      <c r="H32" s="79">
        <v>3.69</v>
      </c>
      <c r="M32" s="36"/>
      <c r="N32" s="5"/>
    </row>
    <row r="33" spans="1:64" x14ac:dyDescent="0.25">
      <c r="A33" s="4" t="s">
        <v>15</v>
      </c>
      <c r="B33" s="14" t="s">
        <v>160</v>
      </c>
      <c r="C33" s="136" t="s">
        <v>342</v>
      </c>
      <c r="D33" s="137"/>
      <c r="E33" s="137"/>
      <c r="F33" s="137"/>
      <c r="G33" s="14" t="s">
        <v>595</v>
      </c>
      <c r="H33" s="78">
        <v>69.162999999999997</v>
      </c>
      <c r="I33" s="24">
        <v>0</v>
      </c>
      <c r="J33" s="24">
        <f>H33*AO33</f>
        <v>0</v>
      </c>
      <c r="K33" s="24">
        <f>H33*AP33</f>
        <v>0</v>
      </c>
      <c r="L33" s="24">
        <f>H33*I33</f>
        <v>0</v>
      </c>
      <c r="M33" s="35" t="s">
        <v>616</v>
      </c>
      <c r="N33" s="5"/>
      <c r="Z33" s="42">
        <f>IF(AQ33="5",BJ33,0)</f>
        <v>0</v>
      </c>
      <c r="AB33" s="42">
        <f>IF(AQ33="1",BH33,0)</f>
        <v>0</v>
      </c>
      <c r="AC33" s="42">
        <f>IF(AQ33="1",BI33,0)</f>
        <v>0</v>
      </c>
      <c r="AD33" s="42">
        <f>IF(AQ33="7",BH33,0)</f>
        <v>0</v>
      </c>
      <c r="AE33" s="42">
        <f>IF(AQ33="7",BI33,0)</f>
        <v>0</v>
      </c>
      <c r="AF33" s="42">
        <f>IF(AQ33="2",BH33,0)</f>
        <v>0</v>
      </c>
      <c r="AG33" s="42">
        <f>IF(AQ33="2",BI33,0)</f>
        <v>0</v>
      </c>
      <c r="AH33" s="42">
        <f>IF(AQ33="0",BJ33,0)</f>
        <v>0</v>
      </c>
      <c r="AI33" s="41"/>
      <c r="AJ33" s="24">
        <f>IF(AN33=0,L33,0)</f>
        <v>0</v>
      </c>
      <c r="AK33" s="24">
        <f>IF(AN33=15,L33,0)</f>
        <v>0</v>
      </c>
      <c r="AL33" s="24">
        <f>IF(AN33=21,L33,0)</f>
        <v>0</v>
      </c>
      <c r="AN33" s="42">
        <v>15</v>
      </c>
      <c r="AO33" s="42">
        <f>I33*0.153905771326119</f>
        <v>0</v>
      </c>
      <c r="AP33" s="42">
        <f>I33*(1-0.153905771326119)</f>
        <v>0</v>
      </c>
      <c r="AQ33" s="43" t="s">
        <v>7</v>
      </c>
      <c r="AV33" s="42">
        <f>AW33+AX33</f>
        <v>0</v>
      </c>
      <c r="AW33" s="42">
        <f>H33*AO33</f>
        <v>0</v>
      </c>
      <c r="AX33" s="42">
        <f>H33*AP33</f>
        <v>0</v>
      </c>
      <c r="AY33" s="45" t="s">
        <v>628</v>
      </c>
      <c r="AZ33" s="45" t="s">
        <v>656</v>
      </c>
      <c r="BA33" s="41" t="s">
        <v>664</v>
      </c>
      <c r="BC33" s="42">
        <f>AW33+AX33</f>
        <v>0</v>
      </c>
      <c r="BD33" s="42">
        <f>I33/(100-BE33)*100</f>
        <v>0</v>
      </c>
      <c r="BE33" s="42">
        <v>0</v>
      </c>
      <c r="BF33" s="42">
        <f>33</f>
        <v>33</v>
      </c>
      <c r="BH33" s="24">
        <f>H33*AO33</f>
        <v>0</v>
      </c>
      <c r="BI33" s="24">
        <f>H33*AP33</f>
        <v>0</v>
      </c>
      <c r="BJ33" s="24">
        <f>H33*I33</f>
        <v>0</v>
      </c>
      <c r="BK33" s="24" t="s">
        <v>669</v>
      </c>
      <c r="BL33" s="42">
        <v>61</v>
      </c>
    </row>
    <row r="34" spans="1:64" x14ac:dyDescent="0.25">
      <c r="A34" s="5"/>
      <c r="C34" s="18" t="s">
        <v>343</v>
      </c>
      <c r="F34" s="20"/>
      <c r="H34" s="79">
        <v>20.995999999999999</v>
      </c>
      <c r="M34" s="36"/>
      <c r="N34" s="5"/>
    </row>
    <row r="35" spans="1:64" x14ac:dyDescent="0.25">
      <c r="A35" s="5"/>
      <c r="C35" s="18" t="s">
        <v>344</v>
      </c>
      <c r="F35" s="20"/>
      <c r="H35" s="79">
        <v>14.157999999999999</v>
      </c>
      <c r="M35" s="36"/>
      <c r="N35" s="5"/>
    </row>
    <row r="36" spans="1:64" x14ac:dyDescent="0.25">
      <c r="A36" s="5"/>
      <c r="C36" s="18" t="s">
        <v>345</v>
      </c>
      <c r="F36" s="20"/>
      <c r="H36" s="79">
        <v>34.009</v>
      </c>
      <c r="M36" s="36"/>
      <c r="N36" s="5"/>
    </row>
    <row r="37" spans="1:64" x14ac:dyDescent="0.25">
      <c r="A37" s="5"/>
      <c r="C37" s="18" t="s">
        <v>346</v>
      </c>
      <c r="F37" s="20"/>
      <c r="H37" s="79">
        <v>0</v>
      </c>
      <c r="M37" s="36"/>
      <c r="N37" s="5"/>
    </row>
    <row r="38" spans="1:64" x14ac:dyDescent="0.25">
      <c r="A38" s="4" t="s">
        <v>16</v>
      </c>
      <c r="B38" s="14" t="s">
        <v>161</v>
      </c>
      <c r="C38" s="136" t="s">
        <v>347</v>
      </c>
      <c r="D38" s="137"/>
      <c r="E38" s="137"/>
      <c r="F38" s="137"/>
      <c r="G38" s="14" t="s">
        <v>595</v>
      </c>
      <c r="H38" s="78">
        <v>18.893999999999998</v>
      </c>
      <c r="I38" s="24">
        <v>0</v>
      </c>
      <c r="J38" s="24">
        <f>H38*AO38</f>
        <v>0</v>
      </c>
      <c r="K38" s="24">
        <f>H38*AP38</f>
        <v>0</v>
      </c>
      <c r="L38" s="24">
        <f>H38*I38</f>
        <v>0</v>
      </c>
      <c r="M38" s="35" t="s">
        <v>616</v>
      </c>
      <c r="N38" s="5"/>
      <c r="Z38" s="42">
        <f>IF(AQ38="5",BJ38,0)</f>
        <v>0</v>
      </c>
      <c r="AB38" s="42">
        <f>IF(AQ38="1",BH38,0)</f>
        <v>0</v>
      </c>
      <c r="AC38" s="42">
        <f>IF(AQ38="1",BI38,0)</f>
        <v>0</v>
      </c>
      <c r="AD38" s="42">
        <f>IF(AQ38="7",BH38,0)</f>
        <v>0</v>
      </c>
      <c r="AE38" s="42">
        <f>IF(AQ38="7",BI38,0)</f>
        <v>0</v>
      </c>
      <c r="AF38" s="42">
        <f>IF(AQ38="2",BH38,0)</f>
        <v>0</v>
      </c>
      <c r="AG38" s="42">
        <f>IF(AQ38="2",BI38,0)</f>
        <v>0</v>
      </c>
      <c r="AH38" s="42">
        <f>IF(AQ38="0",BJ38,0)</f>
        <v>0</v>
      </c>
      <c r="AI38" s="41"/>
      <c r="AJ38" s="24">
        <f>IF(AN38=0,L38,0)</f>
        <v>0</v>
      </c>
      <c r="AK38" s="24">
        <f>IF(AN38=15,L38,0)</f>
        <v>0</v>
      </c>
      <c r="AL38" s="24">
        <f>IF(AN38=21,L38,0)</f>
        <v>0</v>
      </c>
      <c r="AN38" s="42">
        <v>15</v>
      </c>
      <c r="AO38" s="42">
        <f>I38*0.129779425203612</f>
        <v>0</v>
      </c>
      <c r="AP38" s="42">
        <f>I38*(1-0.129779425203612)</f>
        <v>0</v>
      </c>
      <c r="AQ38" s="43" t="s">
        <v>7</v>
      </c>
      <c r="AV38" s="42">
        <f>AW38+AX38</f>
        <v>0</v>
      </c>
      <c r="AW38" s="42">
        <f>H38*AO38</f>
        <v>0</v>
      </c>
      <c r="AX38" s="42">
        <f>H38*AP38</f>
        <v>0</v>
      </c>
      <c r="AY38" s="45" t="s">
        <v>628</v>
      </c>
      <c r="AZ38" s="45" t="s">
        <v>656</v>
      </c>
      <c r="BA38" s="41" t="s">
        <v>664</v>
      </c>
      <c r="BC38" s="42">
        <f>AW38+AX38</f>
        <v>0</v>
      </c>
      <c r="BD38" s="42">
        <f>I38/(100-BE38)*100</f>
        <v>0</v>
      </c>
      <c r="BE38" s="42">
        <v>0</v>
      </c>
      <c r="BF38" s="42">
        <f>38</f>
        <v>38</v>
      </c>
      <c r="BH38" s="24">
        <f>H38*AO38</f>
        <v>0</v>
      </c>
      <c r="BI38" s="24">
        <f>H38*AP38</f>
        <v>0</v>
      </c>
      <c r="BJ38" s="24">
        <f>H38*I38</f>
        <v>0</v>
      </c>
      <c r="BK38" s="24" t="s">
        <v>669</v>
      </c>
      <c r="BL38" s="42">
        <v>61</v>
      </c>
    </row>
    <row r="39" spans="1:64" x14ac:dyDescent="0.25">
      <c r="A39" s="5"/>
      <c r="C39" s="18" t="s">
        <v>348</v>
      </c>
      <c r="F39" s="20"/>
      <c r="H39" s="79">
        <v>13.92</v>
      </c>
      <c r="M39" s="36"/>
      <c r="N39" s="5"/>
    </row>
    <row r="40" spans="1:64" x14ac:dyDescent="0.25">
      <c r="A40" s="5"/>
      <c r="C40" s="18" t="s">
        <v>349</v>
      </c>
      <c r="F40" s="20"/>
      <c r="H40" s="79">
        <v>4.9740000000000002</v>
      </c>
      <c r="M40" s="36"/>
      <c r="N40" s="5"/>
    </row>
    <row r="41" spans="1:64" x14ac:dyDescent="0.25">
      <c r="A41" s="6"/>
      <c r="B41" s="15" t="s">
        <v>68</v>
      </c>
      <c r="C41" s="141" t="s">
        <v>350</v>
      </c>
      <c r="D41" s="142"/>
      <c r="E41" s="142"/>
      <c r="F41" s="142"/>
      <c r="G41" s="22" t="s">
        <v>6</v>
      </c>
      <c r="H41" s="22" t="s">
        <v>6</v>
      </c>
      <c r="I41" s="22" t="s">
        <v>6</v>
      </c>
      <c r="J41" s="48">
        <f>SUM(J42:J50)</f>
        <v>0</v>
      </c>
      <c r="K41" s="48">
        <f>SUM(K42:K50)</f>
        <v>0</v>
      </c>
      <c r="L41" s="48">
        <f>SUM(L42:L50)</f>
        <v>0</v>
      </c>
      <c r="M41" s="37"/>
      <c r="N41" s="5"/>
      <c r="AI41" s="41"/>
      <c r="AS41" s="48">
        <f>SUM(AJ42:AJ50)</f>
        <v>0</v>
      </c>
      <c r="AT41" s="48">
        <f>SUM(AK42:AK50)</f>
        <v>0</v>
      </c>
      <c r="AU41" s="48">
        <f>SUM(AL42:AL50)</f>
        <v>0</v>
      </c>
    </row>
    <row r="42" spans="1:64" x14ac:dyDescent="0.25">
      <c r="A42" s="4" t="s">
        <v>17</v>
      </c>
      <c r="B42" s="14" t="s">
        <v>162</v>
      </c>
      <c r="C42" s="136" t="s">
        <v>351</v>
      </c>
      <c r="D42" s="137"/>
      <c r="E42" s="137"/>
      <c r="F42" s="137"/>
      <c r="G42" s="14" t="s">
        <v>595</v>
      </c>
      <c r="H42" s="78">
        <v>6.6790000000000003</v>
      </c>
      <c r="I42" s="24">
        <v>0</v>
      </c>
      <c r="J42" s="24">
        <f>H42*AO42</f>
        <v>0</v>
      </c>
      <c r="K42" s="24">
        <f>H42*AP42</f>
        <v>0</v>
      </c>
      <c r="L42" s="24">
        <f>H42*I42</f>
        <v>0</v>
      </c>
      <c r="M42" s="35" t="s">
        <v>616</v>
      </c>
      <c r="N42" s="5"/>
      <c r="Z42" s="42">
        <f>IF(AQ42="5",BJ42,0)</f>
        <v>0</v>
      </c>
      <c r="AB42" s="42">
        <f>IF(AQ42="1",BH42,0)</f>
        <v>0</v>
      </c>
      <c r="AC42" s="42">
        <f>IF(AQ42="1",BI42,0)</f>
        <v>0</v>
      </c>
      <c r="AD42" s="42">
        <f>IF(AQ42="7",BH42,0)</f>
        <v>0</v>
      </c>
      <c r="AE42" s="42">
        <f>IF(AQ42="7",BI42,0)</f>
        <v>0</v>
      </c>
      <c r="AF42" s="42">
        <f>IF(AQ42="2",BH42,0)</f>
        <v>0</v>
      </c>
      <c r="AG42" s="42">
        <f>IF(AQ42="2",BI42,0)</f>
        <v>0</v>
      </c>
      <c r="AH42" s="42">
        <f>IF(AQ42="0",BJ42,0)</f>
        <v>0</v>
      </c>
      <c r="AI42" s="41"/>
      <c r="AJ42" s="24">
        <f>IF(AN42=0,L42,0)</f>
        <v>0</v>
      </c>
      <c r="AK42" s="24">
        <f>IF(AN42=15,L42,0)</f>
        <v>0</v>
      </c>
      <c r="AL42" s="24">
        <f>IF(AN42=21,L42,0)</f>
        <v>0</v>
      </c>
      <c r="AN42" s="42">
        <v>15</v>
      </c>
      <c r="AO42" s="42">
        <f>I42*0.528314577169432</f>
        <v>0</v>
      </c>
      <c r="AP42" s="42">
        <f>I42*(1-0.528314577169432)</f>
        <v>0</v>
      </c>
      <c r="AQ42" s="43" t="s">
        <v>7</v>
      </c>
      <c r="AV42" s="42">
        <f>AW42+AX42</f>
        <v>0</v>
      </c>
      <c r="AW42" s="42">
        <f>H42*AO42</f>
        <v>0</v>
      </c>
      <c r="AX42" s="42">
        <f>H42*AP42</f>
        <v>0</v>
      </c>
      <c r="AY42" s="45" t="s">
        <v>629</v>
      </c>
      <c r="AZ42" s="45" t="s">
        <v>656</v>
      </c>
      <c r="BA42" s="41" t="s">
        <v>664</v>
      </c>
      <c r="BC42" s="42">
        <f>AW42+AX42</f>
        <v>0</v>
      </c>
      <c r="BD42" s="42">
        <f>I42/(100-BE42)*100</f>
        <v>0</v>
      </c>
      <c r="BE42" s="42">
        <v>0</v>
      </c>
      <c r="BF42" s="42">
        <f>42</f>
        <v>42</v>
      </c>
      <c r="BH42" s="24">
        <f>H42*AO42</f>
        <v>0</v>
      </c>
      <c r="BI42" s="24">
        <f>H42*AP42</f>
        <v>0</v>
      </c>
      <c r="BJ42" s="24">
        <f>H42*I42</f>
        <v>0</v>
      </c>
      <c r="BK42" s="24" t="s">
        <v>669</v>
      </c>
      <c r="BL42" s="42">
        <v>62</v>
      </c>
    </row>
    <row r="43" spans="1:64" x14ac:dyDescent="0.25">
      <c r="A43" s="5"/>
      <c r="C43" s="18" t="s">
        <v>352</v>
      </c>
      <c r="F43" s="20"/>
      <c r="H43" s="79">
        <v>6.6790000000000003</v>
      </c>
      <c r="M43" s="36"/>
      <c r="N43" s="5"/>
    </row>
    <row r="44" spans="1:64" x14ac:dyDescent="0.25">
      <c r="A44" s="4" t="s">
        <v>18</v>
      </c>
      <c r="B44" s="14" t="s">
        <v>163</v>
      </c>
      <c r="C44" s="136" t="s">
        <v>353</v>
      </c>
      <c r="D44" s="137"/>
      <c r="E44" s="137"/>
      <c r="F44" s="137"/>
      <c r="G44" s="14" t="s">
        <v>595</v>
      </c>
      <c r="H44" s="78">
        <v>7</v>
      </c>
      <c r="I44" s="24">
        <v>0</v>
      </c>
      <c r="J44" s="24">
        <f>H44*AO44</f>
        <v>0</v>
      </c>
      <c r="K44" s="24">
        <f>H44*AP44</f>
        <v>0</v>
      </c>
      <c r="L44" s="24">
        <f>H44*I44</f>
        <v>0</v>
      </c>
      <c r="M44" s="35" t="s">
        <v>616</v>
      </c>
      <c r="N44" s="5"/>
      <c r="Z44" s="42">
        <f>IF(AQ44="5",BJ44,0)</f>
        <v>0</v>
      </c>
      <c r="AB44" s="42">
        <f>IF(AQ44="1",BH44,0)</f>
        <v>0</v>
      </c>
      <c r="AC44" s="42">
        <f>IF(AQ44="1",BI44,0)</f>
        <v>0</v>
      </c>
      <c r="AD44" s="42">
        <f>IF(AQ44="7",BH44,0)</f>
        <v>0</v>
      </c>
      <c r="AE44" s="42">
        <f>IF(AQ44="7",BI44,0)</f>
        <v>0</v>
      </c>
      <c r="AF44" s="42">
        <f>IF(AQ44="2",BH44,0)</f>
        <v>0</v>
      </c>
      <c r="AG44" s="42">
        <f>IF(AQ44="2",BI44,0)</f>
        <v>0</v>
      </c>
      <c r="AH44" s="42">
        <f>IF(AQ44="0",BJ44,0)</f>
        <v>0</v>
      </c>
      <c r="AI44" s="41"/>
      <c r="AJ44" s="24">
        <f>IF(AN44=0,L44,0)</f>
        <v>0</v>
      </c>
      <c r="AK44" s="24">
        <f>IF(AN44=15,L44,0)</f>
        <v>0</v>
      </c>
      <c r="AL44" s="24">
        <f>IF(AN44=21,L44,0)</f>
        <v>0</v>
      </c>
      <c r="AN44" s="42">
        <v>15</v>
      </c>
      <c r="AO44" s="42">
        <f>I44*0.448325597251724</f>
        <v>0</v>
      </c>
      <c r="AP44" s="42">
        <f>I44*(1-0.448325597251724)</f>
        <v>0</v>
      </c>
      <c r="AQ44" s="43" t="s">
        <v>7</v>
      </c>
      <c r="AV44" s="42">
        <f>AW44+AX44</f>
        <v>0</v>
      </c>
      <c r="AW44" s="42">
        <f>H44*AO44</f>
        <v>0</v>
      </c>
      <c r="AX44" s="42">
        <f>H44*AP44</f>
        <v>0</v>
      </c>
      <c r="AY44" s="45" t="s">
        <v>629</v>
      </c>
      <c r="AZ44" s="45" t="s">
        <v>656</v>
      </c>
      <c r="BA44" s="41" t="s">
        <v>664</v>
      </c>
      <c r="BC44" s="42">
        <f>AW44+AX44</f>
        <v>0</v>
      </c>
      <c r="BD44" s="42">
        <f>I44/(100-BE44)*100</f>
        <v>0</v>
      </c>
      <c r="BE44" s="42">
        <v>0</v>
      </c>
      <c r="BF44" s="42">
        <f>44</f>
        <v>44</v>
      </c>
      <c r="BH44" s="24">
        <f>H44*AO44</f>
        <v>0</v>
      </c>
      <c r="BI44" s="24">
        <f>H44*AP44</f>
        <v>0</v>
      </c>
      <c r="BJ44" s="24">
        <f>H44*I44</f>
        <v>0</v>
      </c>
      <c r="BK44" s="24" t="s">
        <v>669</v>
      </c>
      <c r="BL44" s="42">
        <v>62</v>
      </c>
    </row>
    <row r="45" spans="1:64" x14ac:dyDescent="0.25">
      <c r="A45" s="5"/>
      <c r="C45" s="18" t="s">
        <v>354</v>
      </c>
      <c r="F45" s="20"/>
      <c r="H45" s="79">
        <v>7</v>
      </c>
      <c r="M45" s="36"/>
      <c r="N45" s="5"/>
    </row>
    <row r="46" spans="1:64" x14ac:dyDescent="0.25">
      <c r="A46" s="82" t="s">
        <v>18</v>
      </c>
      <c r="B46" s="83" t="s">
        <v>163</v>
      </c>
      <c r="C46" s="145" t="s">
        <v>723</v>
      </c>
      <c r="D46" s="146"/>
      <c r="E46" s="145"/>
      <c r="F46" s="146"/>
      <c r="G46" s="83" t="s">
        <v>595</v>
      </c>
      <c r="H46" s="84">
        <v>8</v>
      </c>
      <c r="I46" s="85">
        <v>0</v>
      </c>
      <c r="J46" s="24">
        <f>H46*AO46</f>
        <v>0</v>
      </c>
      <c r="K46" s="24">
        <f>H46*AP46</f>
        <v>0</v>
      </c>
      <c r="L46" s="24">
        <f>H46*I46</f>
        <v>0</v>
      </c>
      <c r="M46" s="35" t="s">
        <v>616</v>
      </c>
      <c r="N46" s="5"/>
      <c r="Z46" s="42"/>
      <c r="AB46" s="42"/>
      <c r="AC46" s="42"/>
      <c r="AD46" s="42"/>
      <c r="AE46" s="42"/>
      <c r="AF46" s="42"/>
      <c r="AG46" s="42"/>
      <c r="AH46" s="42"/>
      <c r="AI46" s="41"/>
      <c r="AJ46" s="24"/>
      <c r="AK46" s="24"/>
      <c r="AL46" s="24"/>
      <c r="AN46" s="42"/>
      <c r="AO46" s="42"/>
      <c r="AP46" s="42"/>
      <c r="AQ46" s="43"/>
      <c r="AV46" s="42"/>
      <c r="AW46" s="42"/>
      <c r="AX46" s="42"/>
      <c r="AY46" s="45"/>
      <c r="AZ46" s="45"/>
      <c r="BA46" s="41"/>
      <c r="BC46" s="42"/>
      <c r="BD46" s="42"/>
      <c r="BE46" s="42"/>
      <c r="BF46" s="42"/>
      <c r="BH46" s="24"/>
      <c r="BI46" s="24"/>
      <c r="BJ46" s="24"/>
      <c r="BK46" s="24"/>
      <c r="BL46" s="42"/>
    </row>
    <row r="47" spans="1:64" x14ac:dyDescent="0.25">
      <c r="A47" s="86"/>
      <c r="B47" s="87"/>
      <c r="C47" s="88" t="s">
        <v>724</v>
      </c>
      <c r="D47" s="87"/>
      <c r="E47" s="87"/>
      <c r="F47" s="88"/>
      <c r="G47" s="87"/>
      <c r="H47" s="89">
        <v>8</v>
      </c>
      <c r="I47" s="87"/>
      <c r="M47" s="36"/>
      <c r="N47" s="5"/>
    </row>
    <row r="48" spans="1:64" x14ac:dyDescent="0.25">
      <c r="A48" s="82" t="s">
        <v>19</v>
      </c>
      <c r="B48" s="83" t="s">
        <v>164</v>
      </c>
      <c r="C48" s="145" t="s">
        <v>355</v>
      </c>
      <c r="D48" s="146"/>
      <c r="E48" s="146"/>
      <c r="F48" s="146"/>
      <c r="G48" s="83" t="s">
        <v>595</v>
      </c>
      <c r="H48" s="84">
        <v>23</v>
      </c>
      <c r="I48" s="85">
        <v>0</v>
      </c>
      <c r="J48" s="24">
        <f>H48*AO48</f>
        <v>0</v>
      </c>
      <c r="K48" s="24">
        <f>H48*AP48</f>
        <v>0</v>
      </c>
      <c r="L48" s="24">
        <f>H48*I48</f>
        <v>0</v>
      </c>
      <c r="M48" s="35" t="s">
        <v>616</v>
      </c>
      <c r="N48" s="5"/>
      <c r="Z48" s="42">
        <f>IF(AQ48="5",BJ48,0)</f>
        <v>0</v>
      </c>
      <c r="AB48" s="42">
        <f>IF(AQ48="1",BH48,0)</f>
        <v>0</v>
      </c>
      <c r="AC48" s="42">
        <f>IF(AQ48="1",BI48,0)</f>
        <v>0</v>
      </c>
      <c r="AD48" s="42">
        <f>IF(AQ48="7",BH48,0)</f>
        <v>0</v>
      </c>
      <c r="AE48" s="42">
        <f>IF(AQ48="7",BI48,0)</f>
        <v>0</v>
      </c>
      <c r="AF48" s="42">
        <f>IF(AQ48="2",BH48,0)</f>
        <v>0</v>
      </c>
      <c r="AG48" s="42">
        <f>IF(AQ48="2",BI48,0)</f>
        <v>0</v>
      </c>
      <c r="AH48" s="42">
        <f>IF(AQ48="0",BJ48,0)</f>
        <v>0</v>
      </c>
      <c r="AI48" s="41"/>
      <c r="AJ48" s="24">
        <f>IF(AN48=0,L48,0)</f>
        <v>0</v>
      </c>
      <c r="AK48" s="24">
        <f>IF(AN48=15,L48,0)</f>
        <v>0</v>
      </c>
      <c r="AL48" s="24">
        <f>IF(AN48=21,L48,0)</f>
        <v>0</v>
      </c>
      <c r="AN48" s="42">
        <v>15</v>
      </c>
      <c r="AO48" s="42">
        <f>I48*0.27119373776908</f>
        <v>0</v>
      </c>
      <c r="AP48" s="42">
        <f>I48*(1-0.27119373776908)</f>
        <v>0</v>
      </c>
      <c r="AQ48" s="43" t="s">
        <v>7</v>
      </c>
      <c r="AV48" s="42">
        <f>AW48+AX48</f>
        <v>0</v>
      </c>
      <c r="AW48" s="42">
        <f>H48*AO48</f>
        <v>0</v>
      </c>
      <c r="AX48" s="42">
        <f>H48*AP48</f>
        <v>0</v>
      </c>
      <c r="AY48" s="45" t="s">
        <v>629</v>
      </c>
      <c r="AZ48" s="45" t="s">
        <v>656</v>
      </c>
      <c r="BA48" s="41" t="s">
        <v>664</v>
      </c>
      <c r="BC48" s="42">
        <f>AW48+AX48</f>
        <v>0</v>
      </c>
      <c r="BD48" s="42">
        <f>I48/(100-BE48)*100</f>
        <v>0</v>
      </c>
      <c r="BE48" s="42">
        <v>0</v>
      </c>
      <c r="BF48" s="42">
        <f>46</f>
        <v>46</v>
      </c>
      <c r="BH48" s="24">
        <f>H48*AO48</f>
        <v>0</v>
      </c>
      <c r="BI48" s="24">
        <f>H48*AP48</f>
        <v>0</v>
      </c>
      <c r="BJ48" s="24">
        <f>H48*I48</f>
        <v>0</v>
      </c>
      <c r="BK48" s="24" t="s">
        <v>669</v>
      </c>
      <c r="BL48" s="42">
        <v>62</v>
      </c>
    </row>
    <row r="49" spans="1:64" x14ac:dyDescent="0.25">
      <c r="A49" s="86"/>
      <c r="B49" s="87"/>
      <c r="C49" s="88" t="s">
        <v>725</v>
      </c>
      <c r="D49" s="87"/>
      <c r="E49" s="87"/>
      <c r="F49" s="88"/>
      <c r="G49" s="87"/>
      <c r="H49" s="89">
        <v>23</v>
      </c>
      <c r="I49" s="87"/>
      <c r="M49" s="36"/>
      <c r="N49" s="5"/>
    </row>
    <row r="50" spans="1:64" x14ac:dyDescent="0.25">
      <c r="A50" s="82" t="s">
        <v>20</v>
      </c>
      <c r="B50" s="83" t="s">
        <v>165</v>
      </c>
      <c r="C50" s="145" t="s">
        <v>356</v>
      </c>
      <c r="D50" s="146"/>
      <c r="E50" s="146"/>
      <c r="F50" s="146"/>
      <c r="G50" s="83" t="s">
        <v>595</v>
      </c>
      <c r="H50" s="84">
        <v>23</v>
      </c>
      <c r="I50" s="85">
        <v>0</v>
      </c>
      <c r="J50" s="24">
        <f>H50*AO50</f>
        <v>0</v>
      </c>
      <c r="K50" s="24">
        <f>H50*AP50</f>
        <v>0</v>
      </c>
      <c r="L50" s="24">
        <f>H50*I50</f>
        <v>0</v>
      </c>
      <c r="M50" s="35" t="s">
        <v>616</v>
      </c>
      <c r="N50" s="5"/>
      <c r="Z50" s="42">
        <f>IF(AQ50="5",BJ50,0)</f>
        <v>0</v>
      </c>
      <c r="AB50" s="42">
        <f>IF(AQ50="1",BH50,0)</f>
        <v>0</v>
      </c>
      <c r="AC50" s="42">
        <f>IF(AQ50="1",BI50,0)</f>
        <v>0</v>
      </c>
      <c r="AD50" s="42">
        <f>IF(AQ50="7",BH50,0)</f>
        <v>0</v>
      </c>
      <c r="AE50" s="42">
        <f>IF(AQ50="7",BI50,0)</f>
        <v>0</v>
      </c>
      <c r="AF50" s="42">
        <f>IF(AQ50="2",BH50,0)</f>
        <v>0</v>
      </c>
      <c r="AG50" s="42">
        <f>IF(AQ50="2",BI50,0)</f>
        <v>0</v>
      </c>
      <c r="AH50" s="42">
        <f>IF(AQ50="0",BJ50,0)</f>
        <v>0</v>
      </c>
      <c r="AI50" s="41"/>
      <c r="AJ50" s="24">
        <f>IF(AN50=0,L50,0)</f>
        <v>0</v>
      </c>
      <c r="AK50" s="24">
        <f>IF(AN50=15,L50,0)</f>
        <v>0</v>
      </c>
      <c r="AL50" s="24">
        <f>IF(AN50=21,L50,0)</f>
        <v>0</v>
      </c>
      <c r="AN50" s="42">
        <v>15</v>
      </c>
      <c r="AO50" s="42">
        <f>I50*0.614820846905538</f>
        <v>0</v>
      </c>
      <c r="AP50" s="42">
        <f>I50*(1-0.614820846905538)</f>
        <v>0</v>
      </c>
      <c r="AQ50" s="43" t="s">
        <v>7</v>
      </c>
      <c r="AV50" s="42">
        <f>AW50+AX50</f>
        <v>0</v>
      </c>
      <c r="AW50" s="42">
        <f>H50*AO50</f>
        <v>0</v>
      </c>
      <c r="AX50" s="42">
        <f>H50*AP50</f>
        <v>0</v>
      </c>
      <c r="AY50" s="45" t="s">
        <v>629</v>
      </c>
      <c r="AZ50" s="45" t="s">
        <v>656</v>
      </c>
      <c r="BA50" s="41" t="s">
        <v>664</v>
      </c>
      <c r="BC50" s="42">
        <f>AW50+AX50</f>
        <v>0</v>
      </c>
      <c r="BD50" s="42">
        <f>I50/(100-BE50)*100</f>
        <v>0</v>
      </c>
      <c r="BE50" s="42">
        <v>0</v>
      </c>
      <c r="BF50" s="42">
        <f>48</f>
        <v>48</v>
      </c>
      <c r="BH50" s="24">
        <f>H50*AO50</f>
        <v>0</v>
      </c>
      <c r="BI50" s="24">
        <f>H50*AP50</f>
        <v>0</v>
      </c>
      <c r="BJ50" s="24">
        <f>H50*I50</f>
        <v>0</v>
      </c>
      <c r="BK50" s="24" t="s">
        <v>669</v>
      </c>
      <c r="BL50" s="42">
        <v>62</v>
      </c>
    </row>
    <row r="51" spans="1:64" x14ac:dyDescent="0.25">
      <c r="A51" s="86"/>
      <c r="B51" s="87"/>
      <c r="C51" s="88" t="s">
        <v>726</v>
      </c>
      <c r="D51" s="87"/>
      <c r="E51" s="87"/>
      <c r="F51" s="88"/>
      <c r="G51" s="87"/>
      <c r="H51" s="89">
        <v>23</v>
      </c>
      <c r="I51" s="87"/>
      <c r="M51" s="36"/>
      <c r="N51" s="5"/>
    </row>
    <row r="52" spans="1:64" x14ac:dyDescent="0.25">
      <c r="A52" s="6"/>
      <c r="B52" s="15" t="s">
        <v>69</v>
      </c>
      <c r="C52" s="141" t="s">
        <v>357</v>
      </c>
      <c r="D52" s="142"/>
      <c r="E52" s="142"/>
      <c r="F52" s="142"/>
      <c r="G52" s="22" t="s">
        <v>6</v>
      </c>
      <c r="H52" s="22" t="s">
        <v>6</v>
      </c>
      <c r="I52" s="22" t="s">
        <v>6</v>
      </c>
      <c r="J52" s="48">
        <f>SUM(J53:J53)</f>
        <v>0</v>
      </c>
      <c r="K52" s="48">
        <f>SUM(K53:K53)</f>
        <v>0</v>
      </c>
      <c r="L52" s="48">
        <f>SUM(L53:L53)</f>
        <v>0</v>
      </c>
      <c r="M52" s="37"/>
      <c r="N52" s="5"/>
      <c r="AI52" s="41"/>
      <c r="AS52" s="48">
        <f>SUM(AJ53:AJ53)</f>
        <v>0</v>
      </c>
      <c r="AT52" s="48">
        <f>SUM(AK53:AK53)</f>
        <v>0</v>
      </c>
      <c r="AU52" s="48">
        <f>SUM(AL53:AL53)</f>
        <v>0</v>
      </c>
    </row>
    <row r="53" spans="1:64" x14ac:dyDescent="0.25">
      <c r="A53" s="4" t="s">
        <v>21</v>
      </c>
      <c r="B53" s="14" t="s">
        <v>166</v>
      </c>
      <c r="C53" s="136" t="s">
        <v>358</v>
      </c>
      <c r="D53" s="137"/>
      <c r="E53" s="137"/>
      <c r="F53" s="137"/>
      <c r="G53" s="14" t="s">
        <v>595</v>
      </c>
      <c r="H53" s="78">
        <v>3.7519999999999998</v>
      </c>
      <c r="I53" s="24">
        <v>0</v>
      </c>
      <c r="J53" s="24">
        <f>H53*AO53</f>
        <v>0</v>
      </c>
      <c r="K53" s="24">
        <f>H53*AP53</f>
        <v>0</v>
      </c>
      <c r="L53" s="24">
        <f>H53*I53</f>
        <v>0</v>
      </c>
      <c r="M53" s="35" t="s">
        <v>616</v>
      </c>
      <c r="N53" s="5"/>
      <c r="Z53" s="42">
        <f>IF(AQ53="5",BJ53,0)</f>
        <v>0</v>
      </c>
      <c r="AB53" s="42">
        <f>IF(AQ53="1",BH53,0)</f>
        <v>0</v>
      </c>
      <c r="AC53" s="42">
        <f>IF(AQ53="1",BI53,0)</f>
        <v>0</v>
      </c>
      <c r="AD53" s="42">
        <f>IF(AQ53="7",BH53,0)</f>
        <v>0</v>
      </c>
      <c r="AE53" s="42">
        <f>IF(AQ53="7",BI53,0)</f>
        <v>0</v>
      </c>
      <c r="AF53" s="42">
        <f>IF(AQ53="2",BH53,0)</f>
        <v>0</v>
      </c>
      <c r="AG53" s="42">
        <f>IF(AQ53="2",BI53,0)</f>
        <v>0</v>
      </c>
      <c r="AH53" s="42">
        <f>IF(AQ53="0",BJ53,0)</f>
        <v>0</v>
      </c>
      <c r="AI53" s="41"/>
      <c r="AJ53" s="24">
        <f>IF(AN53=0,L53,0)</f>
        <v>0</v>
      </c>
      <c r="AK53" s="24">
        <f>IF(AN53=15,L53,0)</f>
        <v>0</v>
      </c>
      <c r="AL53" s="24">
        <f>IF(AN53=21,L53,0)</f>
        <v>0</v>
      </c>
      <c r="AN53" s="42">
        <v>15</v>
      </c>
      <c r="AO53" s="42">
        <f>I53*0.691197251964879</f>
        <v>0</v>
      </c>
      <c r="AP53" s="42">
        <f>I53*(1-0.691197251964879)</f>
        <v>0</v>
      </c>
      <c r="AQ53" s="43" t="s">
        <v>7</v>
      </c>
      <c r="AV53" s="42">
        <f>AW53+AX53</f>
        <v>0</v>
      </c>
      <c r="AW53" s="42">
        <f>H53*AO53</f>
        <v>0</v>
      </c>
      <c r="AX53" s="42">
        <f>H53*AP53</f>
        <v>0</v>
      </c>
      <c r="AY53" s="45" t="s">
        <v>630</v>
      </c>
      <c r="AZ53" s="45" t="s">
        <v>656</v>
      </c>
      <c r="BA53" s="41" t="s">
        <v>664</v>
      </c>
      <c r="BC53" s="42">
        <f>AW53+AX53</f>
        <v>0</v>
      </c>
      <c r="BD53" s="42">
        <f>I53/(100-BE53)*100</f>
        <v>0</v>
      </c>
      <c r="BE53" s="42">
        <v>0</v>
      </c>
      <c r="BF53" s="42">
        <f>51</f>
        <v>51</v>
      </c>
      <c r="BH53" s="24">
        <f>H53*AO53</f>
        <v>0</v>
      </c>
      <c r="BI53" s="24">
        <f>H53*AP53</f>
        <v>0</v>
      </c>
      <c r="BJ53" s="24">
        <f>H53*I53</f>
        <v>0</v>
      </c>
      <c r="BK53" s="24" t="s">
        <v>669</v>
      </c>
      <c r="BL53" s="42">
        <v>63</v>
      </c>
    </row>
    <row r="54" spans="1:64" x14ac:dyDescent="0.25">
      <c r="A54" s="5"/>
      <c r="C54" s="18" t="s">
        <v>359</v>
      </c>
      <c r="F54" s="20"/>
      <c r="H54" s="79">
        <v>3.7519999999999998</v>
      </c>
      <c r="M54" s="36"/>
      <c r="N54" s="5"/>
    </row>
    <row r="55" spans="1:64" x14ac:dyDescent="0.25">
      <c r="A55" s="6"/>
      <c r="B55" s="15" t="s">
        <v>70</v>
      </c>
      <c r="C55" s="141" t="s">
        <v>360</v>
      </c>
      <c r="D55" s="142"/>
      <c r="E55" s="142"/>
      <c r="F55" s="142"/>
      <c r="G55" s="22" t="s">
        <v>6</v>
      </c>
      <c r="H55" s="22" t="s">
        <v>6</v>
      </c>
      <c r="I55" s="22" t="s">
        <v>6</v>
      </c>
      <c r="J55" s="48">
        <f>SUM(J56:J60)</f>
        <v>0</v>
      </c>
      <c r="K55" s="48">
        <f>SUM(K56:K60)</f>
        <v>0</v>
      </c>
      <c r="L55" s="48">
        <f>SUM(L56:L60)</f>
        <v>0</v>
      </c>
      <c r="M55" s="37"/>
      <c r="N55" s="5"/>
      <c r="AI55" s="41"/>
      <c r="AS55" s="48">
        <f>SUM(AJ56:AJ60)</f>
        <v>0</v>
      </c>
      <c r="AT55" s="48">
        <f>SUM(AK56:AK60)</f>
        <v>0</v>
      </c>
      <c r="AU55" s="48">
        <f>SUM(AL56:AL60)</f>
        <v>0</v>
      </c>
    </row>
    <row r="56" spans="1:64" x14ac:dyDescent="0.25">
      <c r="A56" s="4" t="s">
        <v>22</v>
      </c>
      <c r="B56" s="14" t="s">
        <v>167</v>
      </c>
      <c r="C56" s="136" t="s">
        <v>361</v>
      </c>
      <c r="D56" s="137"/>
      <c r="E56" s="137"/>
      <c r="F56" s="137"/>
      <c r="G56" s="14" t="s">
        <v>598</v>
      </c>
      <c r="H56" s="78">
        <v>1</v>
      </c>
      <c r="I56" s="24">
        <v>0</v>
      </c>
      <c r="J56" s="24">
        <f>H56*AO56</f>
        <v>0</v>
      </c>
      <c r="K56" s="24">
        <f>H56*AP56</f>
        <v>0</v>
      </c>
      <c r="L56" s="24">
        <f>H56*I56</f>
        <v>0</v>
      </c>
      <c r="M56" s="35" t="s">
        <v>616</v>
      </c>
      <c r="N56" s="5"/>
      <c r="Z56" s="42">
        <f>IF(AQ56="5",BJ56,0)</f>
        <v>0</v>
      </c>
      <c r="AB56" s="42">
        <f>IF(AQ56="1",BH56,0)</f>
        <v>0</v>
      </c>
      <c r="AC56" s="42">
        <f>IF(AQ56="1",BI56,0)</f>
        <v>0</v>
      </c>
      <c r="AD56" s="42">
        <f>IF(AQ56="7",BH56,0)</f>
        <v>0</v>
      </c>
      <c r="AE56" s="42">
        <f>IF(AQ56="7",BI56,0)</f>
        <v>0</v>
      </c>
      <c r="AF56" s="42">
        <f>IF(AQ56="2",BH56,0)</f>
        <v>0</v>
      </c>
      <c r="AG56" s="42">
        <f>IF(AQ56="2",BI56,0)</f>
        <v>0</v>
      </c>
      <c r="AH56" s="42">
        <f>IF(AQ56="0",BJ56,0)</f>
        <v>0</v>
      </c>
      <c r="AI56" s="41"/>
      <c r="AJ56" s="24">
        <f>IF(AN56=0,L56,0)</f>
        <v>0</v>
      </c>
      <c r="AK56" s="24">
        <f>IF(AN56=15,L56,0)</f>
        <v>0</v>
      </c>
      <c r="AL56" s="24">
        <f>IF(AN56=21,L56,0)</f>
        <v>0</v>
      </c>
      <c r="AN56" s="42">
        <v>15</v>
      </c>
      <c r="AO56" s="42">
        <f>I56*0.573910377358491</f>
        <v>0</v>
      </c>
      <c r="AP56" s="42">
        <f>I56*(1-0.573910377358491)</f>
        <v>0</v>
      </c>
      <c r="AQ56" s="43" t="s">
        <v>7</v>
      </c>
      <c r="AV56" s="42">
        <f>AW56+AX56</f>
        <v>0</v>
      </c>
      <c r="AW56" s="42">
        <f>H56*AO56</f>
        <v>0</v>
      </c>
      <c r="AX56" s="42">
        <f>H56*AP56</f>
        <v>0</v>
      </c>
      <c r="AY56" s="45" t="s">
        <v>631</v>
      </c>
      <c r="AZ56" s="45" t="s">
        <v>656</v>
      </c>
      <c r="BA56" s="41" t="s">
        <v>664</v>
      </c>
      <c r="BC56" s="42">
        <f>AW56+AX56</f>
        <v>0</v>
      </c>
      <c r="BD56" s="42">
        <f>I56/(100-BE56)*100</f>
        <v>0</v>
      </c>
      <c r="BE56" s="42">
        <v>0</v>
      </c>
      <c r="BF56" s="42">
        <f>54</f>
        <v>54</v>
      </c>
      <c r="BH56" s="24">
        <f>H56*AO56</f>
        <v>0</v>
      </c>
      <c r="BI56" s="24">
        <f>H56*AP56</f>
        <v>0</v>
      </c>
      <c r="BJ56" s="24">
        <f>H56*I56</f>
        <v>0</v>
      </c>
      <c r="BK56" s="24" t="s">
        <v>669</v>
      </c>
      <c r="BL56" s="42">
        <v>64</v>
      </c>
    </row>
    <row r="57" spans="1:64" x14ac:dyDescent="0.25">
      <c r="A57" s="5"/>
      <c r="C57" s="18" t="s">
        <v>362</v>
      </c>
      <c r="F57" s="20"/>
      <c r="H57" s="79">
        <v>1</v>
      </c>
      <c r="M57" s="36"/>
      <c r="N57" s="5"/>
    </row>
    <row r="58" spans="1:64" x14ac:dyDescent="0.25">
      <c r="A58" s="4" t="s">
        <v>23</v>
      </c>
      <c r="B58" s="14" t="s">
        <v>168</v>
      </c>
      <c r="C58" s="136" t="s">
        <v>363</v>
      </c>
      <c r="D58" s="137"/>
      <c r="E58" s="137"/>
      <c r="F58" s="137"/>
      <c r="G58" s="14" t="s">
        <v>598</v>
      </c>
      <c r="H58" s="78">
        <v>1</v>
      </c>
      <c r="I58" s="24">
        <v>0</v>
      </c>
      <c r="J58" s="24">
        <f>H58*AO58</f>
        <v>0</v>
      </c>
      <c r="K58" s="24">
        <f>H58*AP58</f>
        <v>0</v>
      </c>
      <c r="L58" s="24">
        <f>H58*I58</f>
        <v>0</v>
      </c>
      <c r="M58" s="35" t="s">
        <v>616</v>
      </c>
      <c r="N58" s="5"/>
      <c r="Z58" s="42">
        <f>IF(AQ58="5",BJ58,0)</f>
        <v>0</v>
      </c>
      <c r="AB58" s="42">
        <f>IF(AQ58="1",BH58,0)</f>
        <v>0</v>
      </c>
      <c r="AC58" s="42">
        <f>IF(AQ58="1",BI58,0)</f>
        <v>0</v>
      </c>
      <c r="AD58" s="42">
        <f>IF(AQ58="7",BH58,0)</f>
        <v>0</v>
      </c>
      <c r="AE58" s="42">
        <f>IF(AQ58="7",BI58,0)</f>
        <v>0</v>
      </c>
      <c r="AF58" s="42">
        <f>IF(AQ58="2",BH58,0)</f>
        <v>0</v>
      </c>
      <c r="AG58" s="42">
        <f>IF(AQ58="2",BI58,0)</f>
        <v>0</v>
      </c>
      <c r="AH58" s="42">
        <f>IF(AQ58="0",BJ58,0)</f>
        <v>0</v>
      </c>
      <c r="AI58" s="41"/>
      <c r="AJ58" s="24">
        <f>IF(AN58=0,L58,0)</f>
        <v>0</v>
      </c>
      <c r="AK58" s="24">
        <f>IF(AN58=15,L58,0)</f>
        <v>0</v>
      </c>
      <c r="AL58" s="24">
        <f>IF(AN58=21,L58,0)</f>
        <v>0</v>
      </c>
      <c r="AN58" s="42">
        <v>15</v>
      </c>
      <c r="AO58" s="42">
        <f>I58*0.606764925373134</f>
        <v>0</v>
      </c>
      <c r="AP58" s="42">
        <f>I58*(1-0.606764925373134)</f>
        <v>0</v>
      </c>
      <c r="AQ58" s="43" t="s">
        <v>7</v>
      </c>
      <c r="AV58" s="42">
        <f>AW58+AX58</f>
        <v>0</v>
      </c>
      <c r="AW58" s="42">
        <f>H58*AO58</f>
        <v>0</v>
      </c>
      <c r="AX58" s="42">
        <f>H58*AP58</f>
        <v>0</v>
      </c>
      <c r="AY58" s="45" t="s">
        <v>631</v>
      </c>
      <c r="AZ58" s="45" t="s">
        <v>656</v>
      </c>
      <c r="BA58" s="41" t="s">
        <v>664</v>
      </c>
      <c r="BC58" s="42">
        <f>AW58+AX58</f>
        <v>0</v>
      </c>
      <c r="BD58" s="42">
        <f>I58/(100-BE58)*100</f>
        <v>0</v>
      </c>
      <c r="BE58" s="42">
        <v>0</v>
      </c>
      <c r="BF58" s="42">
        <f>56</f>
        <v>56</v>
      </c>
      <c r="BH58" s="24">
        <f>H58*AO58</f>
        <v>0</v>
      </c>
      <c r="BI58" s="24">
        <f>H58*AP58</f>
        <v>0</v>
      </c>
      <c r="BJ58" s="24">
        <f>H58*I58</f>
        <v>0</v>
      </c>
      <c r="BK58" s="24" t="s">
        <v>669</v>
      </c>
      <c r="BL58" s="42">
        <v>64</v>
      </c>
    </row>
    <row r="59" spans="1:64" x14ac:dyDescent="0.25">
      <c r="A59" s="4" t="s">
        <v>24</v>
      </c>
      <c r="B59" s="14" t="s">
        <v>169</v>
      </c>
      <c r="C59" s="136" t="s">
        <v>364</v>
      </c>
      <c r="D59" s="137"/>
      <c r="E59" s="137"/>
      <c r="F59" s="137"/>
      <c r="G59" s="14" t="s">
        <v>597</v>
      </c>
      <c r="H59" s="78">
        <v>3.45</v>
      </c>
      <c r="I59" s="24">
        <v>0</v>
      </c>
      <c r="J59" s="24">
        <f>H59*AO59</f>
        <v>0</v>
      </c>
      <c r="K59" s="24">
        <f>H59*AP59</f>
        <v>0</v>
      </c>
      <c r="L59" s="24">
        <f>H59*I59</f>
        <v>0</v>
      </c>
      <c r="M59" s="35" t="s">
        <v>616</v>
      </c>
      <c r="N59" s="5"/>
      <c r="Z59" s="42">
        <f>IF(AQ59="5",BJ59,0)</f>
        <v>0</v>
      </c>
      <c r="AB59" s="42">
        <f>IF(AQ59="1",BH59,0)</f>
        <v>0</v>
      </c>
      <c r="AC59" s="42">
        <f>IF(AQ59="1",BI59,0)</f>
        <v>0</v>
      </c>
      <c r="AD59" s="42">
        <f>IF(AQ59="7",BH59,0)</f>
        <v>0</v>
      </c>
      <c r="AE59" s="42">
        <f>IF(AQ59="7",BI59,0)</f>
        <v>0</v>
      </c>
      <c r="AF59" s="42">
        <f>IF(AQ59="2",BH59,0)</f>
        <v>0</v>
      </c>
      <c r="AG59" s="42">
        <f>IF(AQ59="2",BI59,0)</f>
        <v>0</v>
      </c>
      <c r="AH59" s="42">
        <f>IF(AQ59="0",BJ59,0)</f>
        <v>0</v>
      </c>
      <c r="AI59" s="41"/>
      <c r="AJ59" s="24">
        <f>IF(AN59=0,L59,0)</f>
        <v>0</v>
      </c>
      <c r="AK59" s="24">
        <f>IF(AN59=15,L59,0)</f>
        <v>0</v>
      </c>
      <c r="AL59" s="24">
        <f>IF(AN59=21,L59,0)</f>
        <v>0</v>
      </c>
      <c r="AN59" s="42">
        <v>15</v>
      </c>
      <c r="AO59" s="42">
        <f>I59*0.548130389440588</f>
        <v>0</v>
      </c>
      <c r="AP59" s="42">
        <f>I59*(1-0.548130389440588)</f>
        <v>0</v>
      </c>
      <c r="AQ59" s="43" t="s">
        <v>7</v>
      </c>
      <c r="AV59" s="42">
        <f>AW59+AX59</f>
        <v>0</v>
      </c>
      <c r="AW59" s="42">
        <f>H59*AO59</f>
        <v>0</v>
      </c>
      <c r="AX59" s="42">
        <f>H59*AP59</f>
        <v>0</v>
      </c>
      <c r="AY59" s="45" t="s">
        <v>631</v>
      </c>
      <c r="AZ59" s="45" t="s">
        <v>656</v>
      </c>
      <c r="BA59" s="41" t="s">
        <v>664</v>
      </c>
      <c r="BC59" s="42">
        <f>AW59+AX59</f>
        <v>0</v>
      </c>
      <c r="BD59" s="42">
        <f>I59/(100-BE59)*100</f>
        <v>0</v>
      </c>
      <c r="BE59" s="42">
        <v>0</v>
      </c>
      <c r="BF59" s="42">
        <f>57</f>
        <v>57</v>
      </c>
      <c r="BH59" s="24">
        <f>H59*AO59</f>
        <v>0</v>
      </c>
      <c r="BI59" s="24">
        <f>H59*AP59</f>
        <v>0</v>
      </c>
      <c r="BJ59" s="24">
        <f>H59*I59</f>
        <v>0</v>
      </c>
      <c r="BK59" s="24" t="s">
        <v>669</v>
      </c>
      <c r="BL59" s="42">
        <v>64</v>
      </c>
    </row>
    <row r="60" spans="1:64" x14ac:dyDescent="0.25">
      <c r="A60" s="4" t="s">
        <v>25</v>
      </c>
      <c r="B60" s="14" t="s">
        <v>170</v>
      </c>
      <c r="C60" s="136" t="s">
        <v>365</v>
      </c>
      <c r="D60" s="137"/>
      <c r="E60" s="137"/>
      <c r="F60" s="137"/>
      <c r="G60" s="14" t="s">
        <v>598</v>
      </c>
      <c r="H60" s="78">
        <v>1</v>
      </c>
      <c r="I60" s="24">
        <v>0</v>
      </c>
      <c r="J60" s="24">
        <f>H60*AO60</f>
        <v>0</v>
      </c>
      <c r="K60" s="24">
        <f>H60*AP60</f>
        <v>0</v>
      </c>
      <c r="L60" s="24">
        <f>H60*I60</f>
        <v>0</v>
      </c>
      <c r="M60" s="35" t="s">
        <v>616</v>
      </c>
      <c r="N60" s="5"/>
      <c r="Z60" s="42">
        <f>IF(AQ60="5",BJ60,0)</f>
        <v>0</v>
      </c>
      <c r="AB60" s="42">
        <f>IF(AQ60="1",BH60,0)</f>
        <v>0</v>
      </c>
      <c r="AC60" s="42">
        <f>IF(AQ60="1",BI60,0)</f>
        <v>0</v>
      </c>
      <c r="AD60" s="42">
        <f>IF(AQ60="7",BH60,0)</f>
        <v>0</v>
      </c>
      <c r="AE60" s="42">
        <f>IF(AQ60="7",BI60,0)</f>
        <v>0</v>
      </c>
      <c r="AF60" s="42">
        <f>IF(AQ60="2",BH60,0)</f>
        <v>0</v>
      </c>
      <c r="AG60" s="42">
        <f>IF(AQ60="2",BI60,0)</f>
        <v>0</v>
      </c>
      <c r="AH60" s="42">
        <f>IF(AQ60="0",BJ60,0)</f>
        <v>0</v>
      </c>
      <c r="AI60" s="41"/>
      <c r="AJ60" s="24">
        <f>IF(AN60=0,L60,0)</f>
        <v>0</v>
      </c>
      <c r="AK60" s="24">
        <f>IF(AN60=15,L60,0)</f>
        <v>0</v>
      </c>
      <c r="AL60" s="24">
        <f>IF(AN60=21,L60,0)</f>
        <v>0</v>
      </c>
      <c r="AN60" s="42">
        <v>15</v>
      </c>
      <c r="AO60" s="42">
        <f>I60*0.638676</f>
        <v>0</v>
      </c>
      <c r="AP60" s="42">
        <f>I60*(1-0.638676)</f>
        <v>0</v>
      </c>
      <c r="AQ60" s="43" t="s">
        <v>7</v>
      </c>
      <c r="AV60" s="42">
        <f>AW60+AX60</f>
        <v>0</v>
      </c>
      <c r="AW60" s="42">
        <f>H60*AO60</f>
        <v>0</v>
      </c>
      <c r="AX60" s="42">
        <f>H60*AP60</f>
        <v>0</v>
      </c>
      <c r="AY60" s="45" t="s">
        <v>631</v>
      </c>
      <c r="AZ60" s="45" t="s">
        <v>656</v>
      </c>
      <c r="BA60" s="41" t="s">
        <v>664</v>
      </c>
      <c r="BC60" s="42">
        <f>AW60+AX60</f>
        <v>0</v>
      </c>
      <c r="BD60" s="42">
        <f>I60/(100-BE60)*100</f>
        <v>0</v>
      </c>
      <c r="BE60" s="42">
        <v>0</v>
      </c>
      <c r="BF60" s="42">
        <f>58</f>
        <v>58</v>
      </c>
      <c r="BH60" s="24">
        <f>H60*AO60</f>
        <v>0</v>
      </c>
      <c r="BI60" s="24">
        <f>H60*AP60</f>
        <v>0</v>
      </c>
      <c r="BJ60" s="24">
        <f>H60*I60</f>
        <v>0</v>
      </c>
      <c r="BK60" s="24" t="s">
        <v>669</v>
      </c>
      <c r="BL60" s="42">
        <v>64</v>
      </c>
    </row>
    <row r="61" spans="1:64" x14ac:dyDescent="0.25">
      <c r="A61" s="5"/>
      <c r="C61" s="18" t="s">
        <v>366</v>
      </c>
      <c r="F61" s="20"/>
      <c r="H61" s="79">
        <v>1</v>
      </c>
      <c r="M61" s="36"/>
      <c r="N61" s="5"/>
    </row>
    <row r="62" spans="1:64" x14ac:dyDescent="0.25">
      <c r="A62" s="6"/>
      <c r="B62" s="15" t="s">
        <v>171</v>
      </c>
      <c r="C62" s="141" t="s">
        <v>367</v>
      </c>
      <c r="D62" s="142"/>
      <c r="E62" s="142"/>
      <c r="F62" s="142"/>
      <c r="G62" s="22" t="s">
        <v>6</v>
      </c>
      <c r="H62" s="22" t="s">
        <v>6</v>
      </c>
      <c r="I62" s="22" t="s">
        <v>6</v>
      </c>
      <c r="J62" s="48">
        <f>SUM(J63:J74)</f>
        <v>0</v>
      </c>
      <c r="K62" s="48">
        <f>SUM(K63:K74)</f>
        <v>0</v>
      </c>
      <c r="L62" s="48">
        <f>SUM(L63:L74)</f>
        <v>0</v>
      </c>
      <c r="M62" s="37"/>
      <c r="N62" s="5"/>
      <c r="AI62" s="41"/>
      <c r="AS62" s="48">
        <f>SUM(AJ63:AJ74)</f>
        <v>0</v>
      </c>
      <c r="AT62" s="48">
        <f>SUM(AK63:AK74)</f>
        <v>0</v>
      </c>
      <c r="AU62" s="48">
        <f>SUM(AL63:AL74)</f>
        <v>0</v>
      </c>
    </row>
    <row r="63" spans="1:64" x14ac:dyDescent="0.25">
      <c r="A63" s="4" t="s">
        <v>26</v>
      </c>
      <c r="B63" s="14" t="s">
        <v>172</v>
      </c>
      <c r="C63" s="136" t="s">
        <v>368</v>
      </c>
      <c r="D63" s="137"/>
      <c r="E63" s="137"/>
      <c r="F63" s="137"/>
      <c r="G63" s="14" t="s">
        <v>595</v>
      </c>
      <c r="H63" s="78">
        <v>22.677</v>
      </c>
      <c r="I63" s="24">
        <v>0</v>
      </c>
      <c r="J63" s="24">
        <f>H63*AO63</f>
        <v>0</v>
      </c>
      <c r="K63" s="24">
        <f>H63*AP63</f>
        <v>0</v>
      </c>
      <c r="L63" s="24">
        <f>H63*I63</f>
        <v>0</v>
      </c>
      <c r="M63" s="35" t="s">
        <v>616</v>
      </c>
      <c r="N63" s="5"/>
      <c r="Z63" s="42">
        <f>IF(AQ63="5",BJ63,0)</f>
        <v>0</v>
      </c>
      <c r="AB63" s="42">
        <f>IF(AQ63="1",BH63,0)</f>
        <v>0</v>
      </c>
      <c r="AC63" s="42">
        <f>IF(AQ63="1",BI63,0)</f>
        <v>0</v>
      </c>
      <c r="AD63" s="42">
        <f>IF(AQ63="7",BH63,0)</f>
        <v>0</v>
      </c>
      <c r="AE63" s="42">
        <f>IF(AQ63="7",BI63,0)</f>
        <v>0</v>
      </c>
      <c r="AF63" s="42">
        <f>IF(AQ63="2",BH63,0)</f>
        <v>0</v>
      </c>
      <c r="AG63" s="42">
        <f>IF(AQ63="2",BI63,0)</f>
        <v>0</v>
      </c>
      <c r="AH63" s="42">
        <f>IF(AQ63="0",BJ63,0)</f>
        <v>0</v>
      </c>
      <c r="AI63" s="41"/>
      <c r="AJ63" s="24">
        <f>IF(AN63=0,L63,0)</f>
        <v>0</v>
      </c>
      <c r="AK63" s="24">
        <f>IF(AN63=15,L63,0)</f>
        <v>0</v>
      </c>
      <c r="AL63" s="24">
        <f>IF(AN63=21,L63,0)</f>
        <v>0</v>
      </c>
      <c r="AN63" s="42">
        <v>15</v>
      </c>
      <c r="AO63" s="42">
        <f>I63*0.621688348106796</f>
        <v>0</v>
      </c>
      <c r="AP63" s="42">
        <f>I63*(1-0.621688348106796)</f>
        <v>0</v>
      </c>
      <c r="AQ63" s="43" t="s">
        <v>13</v>
      </c>
      <c r="AV63" s="42">
        <f>AW63+AX63</f>
        <v>0</v>
      </c>
      <c r="AW63" s="42">
        <f>H63*AO63</f>
        <v>0</v>
      </c>
      <c r="AX63" s="42">
        <f>H63*AP63</f>
        <v>0</v>
      </c>
      <c r="AY63" s="45" t="s">
        <v>632</v>
      </c>
      <c r="AZ63" s="45" t="s">
        <v>657</v>
      </c>
      <c r="BA63" s="41" t="s">
        <v>664</v>
      </c>
      <c r="BC63" s="42">
        <f>AW63+AX63</f>
        <v>0</v>
      </c>
      <c r="BD63" s="42">
        <f>I63/(100-BE63)*100</f>
        <v>0</v>
      </c>
      <c r="BE63" s="42">
        <v>0</v>
      </c>
      <c r="BF63" s="42">
        <f>61</f>
        <v>61</v>
      </c>
      <c r="BH63" s="24">
        <f>H63*AO63</f>
        <v>0</v>
      </c>
      <c r="BI63" s="24">
        <f>H63*AP63</f>
        <v>0</v>
      </c>
      <c r="BJ63" s="24">
        <f>H63*I63</f>
        <v>0</v>
      </c>
      <c r="BK63" s="24" t="s">
        <v>669</v>
      </c>
      <c r="BL63" s="42">
        <v>711</v>
      </c>
    </row>
    <row r="64" spans="1:64" x14ac:dyDescent="0.25">
      <c r="A64" s="5"/>
      <c r="C64" s="18" t="s">
        <v>369</v>
      </c>
      <c r="F64" s="20"/>
      <c r="H64" s="79">
        <v>2.7490000000000001</v>
      </c>
      <c r="M64" s="36"/>
      <c r="N64" s="5"/>
    </row>
    <row r="65" spans="1:64" x14ac:dyDescent="0.25">
      <c r="A65" s="5"/>
      <c r="C65" s="18" t="s">
        <v>370</v>
      </c>
      <c r="F65" s="20"/>
      <c r="H65" s="79">
        <v>1.034</v>
      </c>
      <c r="M65" s="36"/>
      <c r="N65" s="5"/>
    </row>
    <row r="66" spans="1:64" x14ac:dyDescent="0.25">
      <c r="A66" s="5"/>
      <c r="C66" s="18" t="s">
        <v>348</v>
      </c>
      <c r="F66" s="20"/>
      <c r="H66" s="79">
        <v>13.92</v>
      </c>
      <c r="M66" s="36"/>
      <c r="N66" s="5"/>
    </row>
    <row r="67" spans="1:64" x14ac:dyDescent="0.25">
      <c r="A67" s="5"/>
      <c r="C67" s="18" t="s">
        <v>349</v>
      </c>
      <c r="F67" s="20"/>
      <c r="H67" s="79">
        <v>4.9740000000000002</v>
      </c>
      <c r="M67" s="36"/>
      <c r="N67" s="5"/>
    </row>
    <row r="68" spans="1:64" x14ac:dyDescent="0.25">
      <c r="A68" s="4" t="s">
        <v>27</v>
      </c>
      <c r="B68" s="14" t="s">
        <v>173</v>
      </c>
      <c r="C68" s="136" t="s">
        <v>371</v>
      </c>
      <c r="D68" s="137"/>
      <c r="E68" s="137"/>
      <c r="F68" s="137"/>
      <c r="G68" s="14" t="s">
        <v>597</v>
      </c>
      <c r="H68" s="78">
        <v>11.864000000000001</v>
      </c>
      <c r="I68" s="24">
        <v>0</v>
      </c>
      <c r="J68" s="24">
        <f>H68*AO68</f>
        <v>0</v>
      </c>
      <c r="K68" s="24">
        <f>H68*AP68</f>
        <v>0</v>
      </c>
      <c r="L68" s="24">
        <f>H68*I68</f>
        <v>0</v>
      </c>
      <c r="M68" s="35" t="s">
        <v>616</v>
      </c>
      <c r="N68" s="5"/>
      <c r="Z68" s="42">
        <f>IF(AQ68="5",BJ68,0)</f>
        <v>0</v>
      </c>
      <c r="AB68" s="42">
        <f>IF(AQ68="1",BH68,0)</f>
        <v>0</v>
      </c>
      <c r="AC68" s="42">
        <f>IF(AQ68="1",BI68,0)</f>
        <v>0</v>
      </c>
      <c r="AD68" s="42">
        <f>IF(AQ68="7",BH68,0)</f>
        <v>0</v>
      </c>
      <c r="AE68" s="42">
        <f>IF(AQ68="7",BI68,0)</f>
        <v>0</v>
      </c>
      <c r="AF68" s="42">
        <f>IF(AQ68="2",BH68,0)</f>
        <v>0</v>
      </c>
      <c r="AG68" s="42">
        <f>IF(AQ68="2",BI68,0)</f>
        <v>0</v>
      </c>
      <c r="AH68" s="42">
        <f>IF(AQ68="0",BJ68,0)</f>
        <v>0</v>
      </c>
      <c r="AI68" s="41"/>
      <c r="AJ68" s="24">
        <f>IF(AN68=0,L68,0)</f>
        <v>0</v>
      </c>
      <c r="AK68" s="24">
        <f>IF(AN68=15,L68,0)</f>
        <v>0</v>
      </c>
      <c r="AL68" s="24">
        <f>IF(AN68=21,L68,0)</f>
        <v>0</v>
      </c>
      <c r="AN68" s="42">
        <v>15</v>
      </c>
      <c r="AO68" s="42">
        <f>I68*0.620411389356893</f>
        <v>0</v>
      </c>
      <c r="AP68" s="42">
        <f>I68*(1-0.620411389356893)</f>
        <v>0</v>
      </c>
      <c r="AQ68" s="43" t="s">
        <v>13</v>
      </c>
      <c r="AV68" s="42">
        <f>AW68+AX68</f>
        <v>0</v>
      </c>
      <c r="AW68" s="42">
        <f>H68*AO68</f>
        <v>0</v>
      </c>
      <c r="AX68" s="42">
        <f>H68*AP68</f>
        <v>0</v>
      </c>
      <c r="AY68" s="45" t="s">
        <v>632</v>
      </c>
      <c r="AZ68" s="45" t="s">
        <v>657</v>
      </c>
      <c r="BA68" s="41" t="s">
        <v>664</v>
      </c>
      <c r="BC68" s="42">
        <f>AW68+AX68</f>
        <v>0</v>
      </c>
      <c r="BD68" s="42">
        <f>I68/(100-BE68)*100</f>
        <v>0</v>
      </c>
      <c r="BE68" s="42">
        <v>0</v>
      </c>
      <c r="BF68" s="42">
        <f>66</f>
        <v>66</v>
      </c>
      <c r="BH68" s="24">
        <f>H68*AO68</f>
        <v>0</v>
      </c>
      <c r="BI68" s="24">
        <f>H68*AP68</f>
        <v>0</v>
      </c>
      <c r="BJ68" s="24">
        <f>H68*I68</f>
        <v>0</v>
      </c>
      <c r="BK68" s="24" t="s">
        <v>669</v>
      </c>
      <c r="BL68" s="42">
        <v>711</v>
      </c>
    </row>
    <row r="69" spans="1:64" x14ac:dyDescent="0.25">
      <c r="A69" s="5"/>
      <c r="C69" s="18" t="s">
        <v>372</v>
      </c>
      <c r="F69" s="20"/>
      <c r="H69" s="79">
        <v>7.7480000000000002</v>
      </c>
      <c r="M69" s="36"/>
      <c r="N69" s="5"/>
    </row>
    <row r="70" spans="1:64" x14ac:dyDescent="0.25">
      <c r="A70" s="5"/>
      <c r="C70" s="18" t="s">
        <v>373</v>
      </c>
      <c r="F70" s="20"/>
      <c r="H70" s="79">
        <v>4.1159999999999997</v>
      </c>
      <c r="M70" s="36"/>
      <c r="N70" s="5"/>
    </row>
    <row r="71" spans="1:64" x14ac:dyDescent="0.25">
      <c r="A71" s="4" t="s">
        <v>28</v>
      </c>
      <c r="B71" s="14" t="s">
        <v>174</v>
      </c>
      <c r="C71" s="136" t="s">
        <v>374</v>
      </c>
      <c r="D71" s="137"/>
      <c r="E71" s="137"/>
      <c r="F71" s="137"/>
      <c r="G71" s="14" t="s">
        <v>597</v>
      </c>
      <c r="H71" s="78">
        <v>14</v>
      </c>
      <c r="I71" s="24">
        <v>0</v>
      </c>
      <c r="J71" s="24">
        <f>H71*AO71</f>
        <v>0</v>
      </c>
      <c r="K71" s="24">
        <f>H71*AP71</f>
        <v>0</v>
      </c>
      <c r="L71" s="24">
        <f>H71*I71</f>
        <v>0</v>
      </c>
      <c r="M71" s="35" t="s">
        <v>616</v>
      </c>
      <c r="N71" s="5"/>
      <c r="Z71" s="42">
        <f>IF(AQ71="5",BJ71,0)</f>
        <v>0</v>
      </c>
      <c r="AB71" s="42">
        <f>IF(AQ71="1",BH71,0)</f>
        <v>0</v>
      </c>
      <c r="AC71" s="42">
        <f>IF(AQ71="1",BI71,0)</f>
        <v>0</v>
      </c>
      <c r="AD71" s="42">
        <f>IF(AQ71="7",BH71,0)</f>
        <v>0</v>
      </c>
      <c r="AE71" s="42">
        <f>IF(AQ71="7",BI71,0)</f>
        <v>0</v>
      </c>
      <c r="AF71" s="42">
        <f>IF(AQ71="2",BH71,0)</f>
        <v>0</v>
      </c>
      <c r="AG71" s="42">
        <f>IF(AQ71="2",BI71,0)</f>
        <v>0</v>
      </c>
      <c r="AH71" s="42">
        <f>IF(AQ71="0",BJ71,0)</f>
        <v>0</v>
      </c>
      <c r="AI71" s="41"/>
      <c r="AJ71" s="24">
        <f>IF(AN71=0,L71,0)</f>
        <v>0</v>
      </c>
      <c r="AK71" s="24">
        <f>IF(AN71=15,L71,0)</f>
        <v>0</v>
      </c>
      <c r="AL71" s="24">
        <f>IF(AN71=21,L71,0)</f>
        <v>0</v>
      </c>
      <c r="AN71" s="42">
        <v>15</v>
      </c>
      <c r="AO71" s="42">
        <f>I71*0.560260690739733</f>
        <v>0</v>
      </c>
      <c r="AP71" s="42">
        <f>I71*(1-0.560260690739733)</f>
        <v>0</v>
      </c>
      <c r="AQ71" s="43" t="s">
        <v>13</v>
      </c>
      <c r="AV71" s="42">
        <f>AW71+AX71</f>
        <v>0</v>
      </c>
      <c r="AW71" s="42">
        <f>H71*AO71</f>
        <v>0</v>
      </c>
      <c r="AX71" s="42">
        <f>H71*AP71</f>
        <v>0</v>
      </c>
      <c r="AY71" s="45" t="s">
        <v>632</v>
      </c>
      <c r="AZ71" s="45" t="s">
        <v>657</v>
      </c>
      <c r="BA71" s="41" t="s">
        <v>664</v>
      </c>
      <c r="BC71" s="42">
        <f>AW71+AX71</f>
        <v>0</v>
      </c>
      <c r="BD71" s="42">
        <f>I71/(100-BE71)*100</f>
        <v>0</v>
      </c>
      <c r="BE71" s="42">
        <v>0</v>
      </c>
      <c r="BF71" s="42">
        <f>69</f>
        <v>69</v>
      </c>
      <c r="BH71" s="24">
        <f>H71*AO71</f>
        <v>0</v>
      </c>
      <c r="BI71" s="24">
        <f>H71*AP71</f>
        <v>0</v>
      </c>
      <c r="BJ71" s="24">
        <f>H71*I71</f>
        <v>0</v>
      </c>
      <c r="BK71" s="24" t="s">
        <v>669</v>
      </c>
      <c r="BL71" s="42">
        <v>711</v>
      </c>
    </row>
    <row r="72" spans="1:64" x14ac:dyDescent="0.25">
      <c r="A72" s="5"/>
      <c r="C72" s="18" t="s">
        <v>375</v>
      </c>
      <c r="F72" s="20"/>
      <c r="H72" s="79">
        <v>8</v>
      </c>
      <c r="M72" s="36"/>
      <c r="N72" s="5"/>
    </row>
    <row r="73" spans="1:64" x14ac:dyDescent="0.25">
      <c r="A73" s="5"/>
      <c r="C73" s="18" t="s">
        <v>376</v>
      </c>
      <c r="F73" s="20"/>
      <c r="H73" s="79">
        <v>6</v>
      </c>
      <c r="M73" s="36"/>
      <c r="N73" s="5"/>
    </row>
    <row r="74" spans="1:64" x14ac:dyDescent="0.25">
      <c r="A74" s="4" t="s">
        <v>29</v>
      </c>
      <c r="B74" s="14" t="s">
        <v>175</v>
      </c>
      <c r="C74" s="136" t="s">
        <v>377</v>
      </c>
      <c r="D74" s="137"/>
      <c r="E74" s="137"/>
      <c r="F74" s="137"/>
      <c r="G74" s="14" t="s">
        <v>599</v>
      </c>
      <c r="H74" s="78">
        <v>4.1500000000000004</v>
      </c>
      <c r="I74" s="24">
        <v>0</v>
      </c>
      <c r="J74" s="24">
        <f>H74*AO74</f>
        <v>0</v>
      </c>
      <c r="K74" s="24">
        <f>H74*AP74</f>
        <v>0</v>
      </c>
      <c r="L74" s="24">
        <f>H74*I74</f>
        <v>0</v>
      </c>
      <c r="M74" s="35" t="s">
        <v>616</v>
      </c>
      <c r="N74" s="5"/>
      <c r="Z74" s="42">
        <f>IF(AQ74="5",BJ74,0)</f>
        <v>0</v>
      </c>
      <c r="AB74" s="42">
        <f>IF(AQ74="1",BH74,0)</f>
        <v>0</v>
      </c>
      <c r="AC74" s="42">
        <f>IF(AQ74="1",BI74,0)</f>
        <v>0</v>
      </c>
      <c r="AD74" s="42">
        <f>IF(AQ74="7",BH74,0)</f>
        <v>0</v>
      </c>
      <c r="AE74" s="42">
        <f>IF(AQ74="7",BI74,0)</f>
        <v>0</v>
      </c>
      <c r="AF74" s="42">
        <f>IF(AQ74="2",BH74,0)</f>
        <v>0</v>
      </c>
      <c r="AG74" s="42">
        <f>IF(AQ74="2",BI74,0)</f>
        <v>0</v>
      </c>
      <c r="AH74" s="42">
        <f>IF(AQ74="0",BJ74,0)</f>
        <v>0</v>
      </c>
      <c r="AI74" s="41"/>
      <c r="AJ74" s="24">
        <f>IF(AN74=0,L74,0)</f>
        <v>0</v>
      </c>
      <c r="AK74" s="24">
        <f>IF(AN74=15,L74,0)</f>
        <v>0</v>
      </c>
      <c r="AL74" s="24">
        <f>IF(AN74=21,L74,0)</f>
        <v>0</v>
      </c>
      <c r="AN74" s="42">
        <v>15</v>
      </c>
      <c r="AO74" s="42">
        <f>I74*0</f>
        <v>0</v>
      </c>
      <c r="AP74" s="42">
        <f>I74*(1-0)</f>
        <v>0</v>
      </c>
      <c r="AQ74" s="43" t="s">
        <v>11</v>
      </c>
      <c r="AV74" s="42">
        <f>AW74+AX74</f>
        <v>0</v>
      </c>
      <c r="AW74" s="42">
        <f>H74*AO74</f>
        <v>0</v>
      </c>
      <c r="AX74" s="42">
        <f>H74*AP74</f>
        <v>0</v>
      </c>
      <c r="AY74" s="45" t="s">
        <v>632</v>
      </c>
      <c r="AZ74" s="45" t="s">
        <v>657</v>
      </c>
      <c r="BA74" s="41" t="s">
        <v>664</v>
      </c>
      <c r="BC74" s="42">
        <f>AW74+AX74</f>
        <v>0</v>
      </c>
      <c r="BD74" s="42">
        <f>I74/(100-BE74)*100</f>
        <v>0</v>
      </c>
      <c r="BE74" s="42">
        <v>0</v>
      </c>
      <c r="BF74" s="42">
        <f>72</f>
        <v>72</v>
      </c>
      <c r="BH74" s="24">
        <f>H74*AO74</f>
        <v>0</v>
      </c>
      <c r="BI74" s="24">
        <f>H74*AP74</f>
        <v>0</v>
      </c>
      <c r="BJ74" s="24">
        <f>H74*I74</f>
        <v>0</v>
      </c>
      <c r="BK74" s="24" t="s">
        <v>669</v>
      </c>
      <c r="BL74" s="42">
        <v>711</v>
      </c>
    </row>
    <row r="75" spans="1:64" x14ac:dyDescent="0.25">
      <c r="A75" s="6"/>
      <c r="B75" s="15" t="s">
        <v>176</v>
      </c>
      <c r="C75" s="141" t="s">
        <v>378</v>
      </c>
      <c r="D75" s="142"/>
      <c r="E75" s="142"/>
      <c r="F75" s="142"/>
      <c r="G75" s="22" t="s">
        <v>6</v>
      </c>
      <c r="H75" s="22" t="s">
        <v>6</v>
      </c>
      <c r="I75" s="22" t="s">
        <v>6</v>
      </c>
      <c r="J75" s="48">
        <f>SUM(J76:J85)</f>
        <v>0</v>
      </c>
      <c r="K75" s="48">
        <f>SUM(K76:K85)</f>
        <v>0</v>
      </c>
      <c r="L75" s="48">
        <f>SUM(L76:L85)</f>
        <v>0</v>
      </c>
      <c r="M75" s="37"/>
      <c r="N75" s="5"/>
      <c r="AI75" s="41"/>
      <c r="AS75" s="48">
        <f>SUM(AJ76:AJ85)</f>
        <v>0</v>
      </c>
      <c r="AT75" s="48">
        <f>SUM(AK76:AK85)</f>
        <v>0</v>
      </c>
      <c r="AU75" s="48">
        <f>SUM(AL76:AL85)</f>
        <v>0</v>
      </c>
    </row>
    <row r="76" spans="1:64" x14ac:dyDescent="0.25">
      <c r="A76" s="7" t="s">
        <v>30</v>
      </c>
      <c r="B76" s="16" t="s">
        <v>177</v>
      </c>
      <c r="C76" s="143" t="s">
        <v>379</v>
      </c>
      <c r="D76" s="144"/>
      <c r="E76" s="144"/>
      <c r="F76" s="144"/>
      <c r="G76" s="16" t="s">
        <v>598</v>
      </c>
      <c r="H76" s="80">
        <v>3</v>
      </c>
      <c r="I76" s="25">
        <v>0</v>
      </c>
      <c r="J76" s="25">
        <f>H76*AO76</f>
        <v>0</v>
      </c>
      <c r="K76" s="25">
        <f>H76*AP76</f>
        <v>0</v>
      </c>
      <c r="L76" s="25">
        <f>H76*I76</f>
        <v>0</v>
      </c>
      <c r="M76" s="38" t="s">
        <v>616</v>
      </c>
      <c r="N76" s="5"/>
      <c r="Z76" s="42">
        <f>IF(AQ76="5",BJ76,0)</f>
        <v>0</v>
      </c>
      <c r="AB76" s="42">
        <f>IF(AQ76="1",BH76,0)</f>
        <v>0</v>
      </c>
      <c r="AC76" s="42">
        <f>IF(AQ76="1",BI76,0)</f>
        <v>0</v>
      </c>
      <c r="AD76" s="42">
        <f>IF(AQ76="7",BH76,0)</f>
        <v>0</v>
      </c>
      <c r="AE76" s="42">
        <f>IF(AQ76="7",BI76,0)</f>
        <v>0</v>
      </c>
      <c r="AF76" s="42">
        <f>IF(AQ76="2",BH76,0)</f>
        <v>0</v>
      </c>
      <c r="AG76" s="42">
        <f>IF(AQ76="2",BI76,0)</f>
        <v>0</v>
      </c>
      <c r="AH76" s="42">
        <f>IF(AQ76="0",BJ76,0)</f>
        <v>0</v>
      </c>
      <c r="AI76" s="41"/>
      <c r="AJ76" s="25">
        <f>IF(AN76=0,L76,0)</f>
        <v>0</v>
      </c>
      <c r="AK76" s="25">
        <f>IF(AN76=15,L76,0)</f>
        <v>0</v>
      </c>
      <c r="AL76" s="25">
        <f>IF(AN76=21,L76,0)</f>
        <v>0</v>
      </c>
      <c r="AN76" s="42">
        <v>15</v>
      </c>
      <c r="AO76" s="42">
        <f>I76*1</f>
        <v>0</v>
      </c>
      <c r="AP76" s="42">
        <f>I76*(1-1)</f>
        <v>0</v>
      </c>
      <c r="AQ76" s="44" t="s">
        <v>13</v>
      </c>
      <c r="AV76" s="42">
        <f>AW76+AX76</f>
        <v>0</v>
      </c>
      <c r="AW76" s="42">
        <f>H76*AO76</f>
        <v>0</v>
      </c>
      <c r="AX76" s="42">
        <f>H76*AP76</f>
        <v>0</v>
      </c>
      <c r="AY76" s="45" t="s">
        <v>633</v>
      </c>
      <c r="AZ76" s="45" t="s">
        <v>657</v>
      </c>
      <c r="BA76" s="41" t="s">
        <v>664</v>
      </c>
      <c r="BC76" s="42">
        <f>AW76+AX76</f>
        <v>0</v>
      </c>
      <c r="BD76" s="42">
        <f>I76/(100-BE76)*100</f>
        <v>0</v>
      </c>
      <c r="BE76" s="42">
        <v>0</v>
      </c>
      <c r="BF76" s="42">
        <f>74</f>
        <v>74</v>
      </c>
      <c r="BH76" s="25">
        <f>H76*AO76</f>
        <v>0</v>
      </c>
      <c r="BI76" s="25">
        <f>H76*AP76</f>
        <v>0</v>
      </c>
      <c r="BJ76" s="25">
        <f>H76*I76</f>
        <v>0</v>
      </c>
      <c r="BK76" s="25" t="s">
        <v>670</v>
      </c>
      <c r="BL76" s="42">
        <v>713</v>
      </c>
    </row>
    <row r="77" spans="1:64" x14ac:dyDescent="0.25">
      <c r="A77" s="4" t="s">
        <v>31</v>
      </c>
      <c r="B77" s="14" t="s">
        <v>178</v>
      </c>
      <c r="C77" s="136" t="s">
        <v>380</v>
      </c>
      <c r="D77" s="137"/>
      <c r="E77" s="137"/>
      <c r="F77" s="137"/>
      <c r="G77" s="14" t="s">
        <v>595</v>
      </c>
      <c r="H77" s="78">
        <v>3</v>
      </c>
      <c r="I77" s="24">
        <v>0</v>
      </c>
      <c r="J77" s="24">
        <f>H77*AO77</f>
        <v>0</v>
      </c>
      <c r="K77" s="24">
        <f>H77*AP77</f>
        <v>0</v>
      </c>
      <c r="L77" s="24">
        <f>H77*I77</f>
        <v>0</v>
      </c>
      <c r="M77" s="35" t="s">
        <v>616</v>
      </c>
      <c r="N77" s="5"/>
      <c r="Z77" s="42">
        <f>IF(AQ77="5",BJ77,0)</f>
        <v>0</v>
      </c>
      <c r="AB77" s="42">
        <f>IF(AQ77="1",BH77,0)</f>
        <v>0</v>
      </c>
      <c r="AC77" s="42">
        <f>IF(AQ77="1",BI77,0)</f>
        <v>0</v>
      </c>
      <c r="AD77" s="42">
        <f>IF(AQ77="7",BH77,0)</f>
        <v>0</v>
      </c>
      <c r="AE77" s="42">
        <f>IF(AQ77="7",BI77,0)</f>
        <v>0</v>
      </c>
      <c r="AF77" s="42">
        <f>IF(AQ77="2",BH77,0)</f>
        <v>0</v>
      </c>
      <c r="AG77" s="42">
        <f>IF(AQ77="2",BI77,0)</f>
        <v>0</v>
      </c>
      <c r="AH77" s="42">
        <f>IF(AQ77="0",BJ77,0)</f>
        <v>0</v>
      </c>
      <c r="AI77" s="41"/>
      <c r="AJ77" s="24">
        <f>IF(AN77=0,L77,0)</f>
        <v>0</v>
      </c>
      <c r="AK77" s="24">
        <f>IF(AN77=15,L77,0)</f>
        <v>0</v>
      </c>
      <c r="AL77" s="24">
        <f>IF(AN77=21,L77,0)</f>
        <v>0</v>
      </c>
      <c r="AN77" s="42">
        <v>15</v>
      </c>
      <c r="AO77" s="42">
        <f>I77*0.070547147846333</f>
        <v>0</v>
      </c>
      <c r="AP77" s="42">
        <f>I77*(1-0.070547147846333)</f>
        <v>0</v>
      </c>
      <c r="AQ77" s="43" t="s">
        <v>13</v>
      </c>
      <c r="AV77" s="42">
        <f>AW77+AX77</f>
        <v>0</v>
      </c>
      <c r="AW77" s="42">
        <f>H77*AO77</f>
        <v>0</v>
      </c>
      <c r="AX77" s="42">
        <f>H77*AP77</f>
        <v>0</v>
      </c>
      <c r="AY77" s="45" t="s">
        <v>633</v>
      </c>
      <c r="AZ77" s="45" t="s">
        <v>657</v>
      </c>
      <c r="BA77" s="41" t="s">
        <v>664</v>
      </c>
      <c r="BC77" s="42">
        <f>AW77+AX77</f>
        <v>0</v>
      </c>
      <c r="BD77" s="42">
        <f>I77/(100-BE77)*100</f>
        <v>0</v>
      </c>
      <c r="BE77" s="42">
        <v>0</v>
      </c>
      <c r="BF77" s="42">
        <f>75</f>
        <v>75</v>
      </c>
      <c r="BH77" s="24">
        <f>H77*AO77</f>
        <v>0</v>
      </c>
      <c r="BI77" s="24">
        <f>H77*AP77</f>
        <v>0</v>
      </c>
      <c r="BJ77" s="24">
        <f>H77*I77</f>
        <v>0</v>
      </c>
      <c r="BK77" s="24" t="s">
        <v>669</v>
      </c>
      <c r="BL77" s="42">
        <v>713</v>
      </c>
    </row>
    <row r="78" spans="1:64" x14ac:dyDescent="0.25">
      <c r="A78" s="5"/>
      <c r="C78" s="18" t="s">
        <v>381</v>
      </c>
      <c r="F78" s="20"/>
      <c r="H78" s="79">
        <v>3</v>
      </c>
      <c r="M78" s="36"/>
      <c r="N78" s="5"/>
    </row>
    <row r="79" spans="1:64" x14ac:dyDescent="0.25">
      <c r="A79" s="7" t="s">
        <v>32</v>
      </c>
      <c r="B79" s="16" t="s">
        <v>179</v>
      </c>
      <c r="C79" s="143" t="s">
        <v>382</v>
      </c>
      <c r="D79" s="144"/>
      <c r="E79" s="144"/>
      <c r="F79" s="144"/>
      <c r="G79" s="16" t="s">
        <v>595</v>
      </c>
      <c r="H79" s="80">
        <v>3.06</v>
      </c>
      <c r="I79" s="25">
        <v>0</v>
      </c>
      <c r="J79" s="25">
        <f>H79*AO79</f>
        <v>0</v>
      </c>
      <c r="K79" s="25">
        <f>H79*AP79</f>
        <v>0</v>
      </c>
      <c r="L79" s="25">
        <f>H79*I79</f>
        <v>0</v>
      </c>
      <c r="M79" s="38" t="s">
        <v>616</v>
      </c>
      <c r="N79" s="5"/>
      <c r="Z79" s="42">
        <f>IF(AQ79="5",BJ79,0)</f>
        <v>0</v>
      </c>
      <c r="AB79" s="42">
        <f>IF(AQ79="1",BH79,0)</f>
        <v>0</v>
      </c>
      <c r="AC79" s="42">
        <f>IF(AQ79="1",BI79,0)</f>
        <v>0</v>
      </c>
      <c r="AD79" s="42">
        <f>IF(AQ79="7",BH79,0)</f>
        <v>0</v>
      </c>
      <c r="AE79" s="42">
        <f>IF(AQ79="7",BI79,0)</f>
        <v>0</v>
      </c>
      <c r="AF79" s="42">
        <f>IF(AQ79="2",BH79,0)</f>
        <v>0</v>
      </c>
      <c r="AG79" s="42">
        <f>IF(AQ79="2",BI79,0)</f>
        <v>0</v>
      </c>
      <c r="AH79" s="42">
        <f>IF(AQ79="0",BJ79,0)</f>
        <v>0</v>
      </c>
      <c r="AI79" s="41"/>
      <c r="AJ79" s="25">
        <f>IF(AN79=0,L79,0)</f>
        <v>0</v>
      </c>
      <c r="AK79" s="25">
        <f>IF(AN79=15,L79,0)</f>
        <v>0</v>
      </c>
      <c r="AL79" s="25">
        <f>IF(AN79=21,L79,0)</f>
        <v>0</v>
      </c>
      <c r="AN79" s="42">
        <v>15</v>
      </c>
      <c r="AO79" s="42">
        <f>I79*1</f>
        <v>0</v>
      </c>
      <c r="AP79" s="42">
        <f>I79*(1-1)</f>
        <v>0</v>
      </c>
      <c r="AQ79" s="44" t="s">
        <v>13</v>
      </c>
      <c r="AV79" s="42">
        <f>AW79+AX79</f>
        <v>0</v>
      </c>
      <c r="AW79" s="42">
        <f>H79*AO79</f>
        <v>0</v>
      </c>
      <c r="AX79" s="42">
        <f>H79*AP79</f>
        <v>0</v>
      </c>
      <c r="AY79" s="45" t="s">
        <v>633</v>
      </c>
      <c r="AZ79" s="45" t="s">
        <v>657</v>
      </c>
      <c r="BA79" s="41" t="s">
        <v>664</v>
      </c>
      <c r="BC79" s="42">
        <f>AW79+AX79</f>
        <v>0</v>
      </c>
      <c r="BD79" s="42">
        <f>I79/(100-BE79)*100</f>
        <v>0</v>
      </c>
      <c r="BE79" s="42">
        <v>0</v>
      </c>
      <c r="BF79" s="42">
        <f>77</f>
        <v>77</v>
      </c>
      <c r="BH79" s="25">
        <f>H79*AO79</f>
        <v>0</v>
      </c>
      <c r="BI79" s="25">
        <f>H79*AP79</f>
        <v>0</v>
      </c>
      <c r="BJ79" s="25">
        <f>H79*I79</f>
        <v>0</v>
      </c>
      <c r="BK79" s="25" t="s">
        <v>670</v>
      </c>
      <c r="BL79" s="42">
        <v>713</v>
      </c>
    </row>
    <row r="80" spans="1:64" x14ac:dyDescent="0.25">
      <c r="A80" s="5"/>
      <c r="C80" s="18" t="s">
        <v>383</v>
      </c>
      <c r="F80" s="20"/>
      <c r="H80" s="79">
        <v>3.06</v>
      </c>
      <c r="M80" s="36"/>
      <c r="N80" s="5"/>
    </row>
    <row r="81" spans="1:64" x14ac:dyDescent="0.25">
      <c r="A81" s="4" t="s">
        <v>33</v>
      </c>
      <c r="B81" s="14" t="s">
        <v>180</v>
      </c>
      <c r="C81" s="136" t="s">
        <v>384</v>
      </c>
      <c r="D81" s="137"/>
      <c r="E81" s="137"/>
      <c r="F81" s="137"/>
      <c r="G81" s="14" t="s">
        <v>595</v>
      </c>
      <c r="H81" s="78">
        <v>1.4490000000000001</v>
      </c>
      <c r="I81" s="24">
        <v>0</v>
      </c>
      <c r="J81" s="24">
        <f>H81*AO81</f>
        <v>0</v>
      </c>
      <c r="K81" s="24">
        <f>H81*AP81</f>
        <v>0</v>
      </c>
      <c r="L81" s="24">
        <f>H81*I81</f>
        <v>0</v>
      </c>
      <c r="M81" s="35" t="s">
        <v>616</v>
      </c>
      <c r="N81" s="5"/>
      <c r="Z81" s="42">
        <f>IF(AQ81="5",BJ81,0)</f>
        <v>0</v>
      </c>
      <c r="AB81" s="42">
        <f>IF(AQ81="1",BH81,0)</f>
        <v>0</v>
      </c>
      <c r="AC81" s="42">
        <f>IF(AQ81="1",BI81,0)</f>
        <v>0</v>
      </c>
      <c r="AD81" s="42">
        <f>IF(AQ81="7",BH81,0)</f>
        <v>0</v>
      </c>
      <c r="AE81" s="42">
        <f>IF(AQ81="7",BI81,0)</f>
        <v>0</v>
      </c>
      <c r="AF81" s="42">
        <f>IF(AQ81="2",BH81,0)</f>
        <v>0</v>
      </c>
      <c r="AG81" s="42">
        <f>IF(AQ81="2",BI81,0)</f>
        <v>0</v>
      </c>
      <c r="AH81" s="42">
        <f>IF(AQ81="0",BJ81,0)</f>
        <v>0</v>
      </c>
      <c r="AI81" s="41"/>
      <c r="AJ81" s="24">
        <f>IF(AN81=0,L81,0)</f>
        <v>0</v>
      </c>
      <c r="AK81" s="24">
        <f>IF(AN81=15,L81,0)</f>
        <v>0</v>
      </c>
      <c r="AL81" s="24">
        <f>IF(AN81=21,L81,0)</f>
        <v>0</v>
      </c>
      <c r="AN81" s="42">
        <v>15</v>
      </c>
      <c r="AO81" s="42">
        <f>I81*0.388148495671651</f>
        <v>0</v>
      </c>
      <c r="AP81" s="42">
        <f>I81*(1-0.388148495671651)</f>
        <v>0</v>
      </c>
      <c r="AQ81" s="43" t="s">
        <v>13</v>
      </c>
      <c r="AV81" s="42">
        <f>AW81+AX81</f>
        <v>0</v>
      </c>
      <c r="AW81" s="42">
        <f>H81*AO81</f>
        <v>0</v>
      </c>
      <c r="AX81" s="42">
        <f>H81*AP81</f>
        <v>0</v>
      </c>
      <c r="AY81" s="45" t="s">
        <v>633</v>
      </c>
      <c r="AZ81" s="45" t="s">
        <v>657</v>
      </c>
      <c r="BA81" s="41" t="s">
        <v>664</v>
      </c>
      <c r="BC81" s="42">
        <f>AW81+AX81</f>
        <v>0</v>
      </c>
      <c r="BD81" s="42">
        <f>I81/(100-BE81)*100</f>
        <v>0</v>
      </c>
      <c r="BE81" s="42">
        <v>0</v>
      </c>
      <c r="BF81" s="42">
        <f>79</f>
        <v>79</v>
      </c>
      <c r="BH81" s="24">
        <f>H81*AO81</f>
        <v>0</v>
      </c>
      <c r="BI81" s="24">
        <f>H81*AP81</f>
        <v>0</v>
      </c>
      <c r="BJ81" s="24">
        <f>H81*I81</f>
        <v>0</v>
      </c>
      <c r="BK81" s="24" t="s">
        <v>669</v>
      </c>
      <c r="BL81" s="42">
        <v>713</v>
      </c>
    </row>
    <row r="82" spans="1:64" x14ac:dyDescent="0.25">
      <c r="A82" s="5"/>
      <c r="C82" s="18" t="s">
        <v>385</v>
      </c>
      <c r="F82" s="20"/>
      <c r="H82" s="79">
        <v>1.4490000000000001</v>
      </c>
      <c r="M82" s="36"/>
      <c r="N82" s="5"/>
    </row>
    <row r="83" spans="1:64" x14ac:dyDescent="0.25">
      <c r="A83" s="7" t="s">
        <v>34</v>
      </c>
      <c r="B83" s="16" t="s">
        <v>181</v>
      </c>
      <c r="C83" s="143" t="s">
        <v>386</v>
      </c>
      <c r="D83" s="144"/>
      <c r="E83" s="144"/>
      <c r="F83" s="144"/>
      <c r="G83" s="16" t="s">
        <v>595</v>
      </c>
      <c r="H83" s="80">
        <v>1.478</v>
      </c>
      <c r="I83" s="25">
        <v>0</v>
      </c>
      <c r="J83" s="25">
        <f>H83*AO83</f>
        <v>0</v>
      </c>
      <c r="K83" s="25">
        <f>H83*AP83</f>
        <v>0</v>
      </c>
      <c r="L83" s="25">
        <f>H83*I83</f>
        <v>0</v>
      </c>
      <c r="M83" s="38" t="s">
        <v>616</v>
      </c>
      <c r="N83" s="5"/>
      <c r="Z83" s="42">
        <f>IF(AQ83="5",BJ83,0)</f>
        <v>0</v>
      </c>
      <c r="AB83" s="42">
        <f>IF(AQ83="1",BH83,0)</f>
        <v>0</v>
      </c>
      <c r="AC83" s="42">
        <f>IF(AQ83="1",BI83,0)</f>
        <v>0</v>
      </c>
      <c r="AD83" s="42">
        <f>IF(AQ83="7",BH83,0)</f>
        <v>0</v>
      </c>
      <c r="AE83" s="42">
        <f>IF(AQ83="7",BI83,0)</f>
        <v>0</v>
      </c>
      <c r="AF83" s="42">
        <f>IF(AQ83="2",BH83,0)</f>
        <v>0</v>
      </c>
      <c r="AG83" s="42">
        <f>IF(AQ83="2",BI83,0)</f>
        <v>0</v>
      </c>
      <c r="AH83" s="42">
        <f>IF(AQ83="0",BJ83,0)</f>
        <v>0</v>
      </c>
      <c r="AI83" s="41"/>
      <c r="AJ83" s="25">
        <f>IF(AN83=0,L83,0)</f>
        <v>0</v>
      </c>
      <c r="AK83" s="25">
        <f>IF(AN83=15,L83,0)</f>
        <v>0</v>
      </c>
      <c r="AL83" s="25">
        <f>IF(AN83=21,L83,0)</f>
        <v>0</v>
      </c>
      <c r="AN83" s="42">
        <v>15</v>
      </c>
      <c r="AO83" s="42">
        <f>I83*1</f>
        <v>0</v>
      </c>
      <c r="AP83" s="42">
        <f>I83*(1-1)</f>
        <v>0</v>
      </c>
      <c r="AQ83" s="44" t="s">
        <v>13</v>
      </c>
      <c r="AV83" s="42">
        <f>AW83+AX83</f>
        <v>0</v>
      </c>
      <c r="AW83" s="42">
        <f>H83*AO83</f>
        <v>0</v>
      </c>
      <c r="AX83" s="42">
        <f>H83*AP83</f>
        <v>0</v>
      </c>
      <c r="AY83" s="45" t="s">
        <v>633</v>
      </c>
      <c r="AZ83" s="45" t="s">
        <v>657</v>
      </c>
      <c r="BA83" s="41" t="s">
        <v>664</v>
      </c>
      <c r="BC83" s="42">
        <f>AW83+AX83</f>
        <v>0</v>
      </c>
      <c r="BD83" s="42">
        <f>I83/(100-BE83)*100</f>
        <v>0</v>
      </c>
      <c r="BE83" s="42">
        <v>0</v>
      </c>
      <c r="BF83" s="42">
        <f>81</f>
        <v>81</v>
      </c>
      <c r="BH83" s="25">
        <f>H83*AO83</f>
        <v>0</v>
      </c>
      <c r="BI83" s="25">
        <f>H83*AP83</f>
        <v>0</v>
      </c>
      <c r="BJ83" s="25">
        <f>H83*I83</f>
        <v>0</v>
      </c>
      <c r="BK83" s="25" t="s">
        <v>670</v>
      </c>
      <c r="BL83" s="42">
        <v>713</v>
      </c>
    </row>
    <row r="84" spans="1:64" x14ac:dyDescent="0.25">
      <c r="A84" s="5"/>
      <c r="C84" s="18" t="s">
        <v>387</v>
      </c>
      <c r="F84" s="20"/>
      <c r="H84" s="79">
        <v>1.478</v>
      </c>
      <c r="M84" s="36"/>
      <c r="N84" s="5"/>
    </row>
    <row r="85" spans="1:64" x14ac:dyDescent="0.25">
      <c r="A85" s="4" t="s">
        <v>35</v>
      </c>
      <c r="B85" s="14" t="s">
        <v>182</v>
      </c>
      <c r="C85" s="136" t="s">
        <v>388</v>
      </c>
      <c r="D85" s="137"/>
      <c r="E85" s="137"/>
      <c r="F85" s="137"/>
      <c r="G85" s="14" t="s">
        <v>599</v>
      </c>
      <c r="H85" s="78">
        <v>2.1</v>
      </c>
      <c r="I85" s="24">
        <v>0</v>
      </c>
      <c r="J85" s="24">
        <f>H85*AO85</f>
        <v>0</v>
      </c>
      <c r="K85" s="24">
        <f>H85*AP85</f>
        <v>0</v>
      </c>
      <c r="L85" s="24">
        <f>H85*I85</f>
        <v>0</v>
      </c>
      <c r="M85" s="35" t="s">
        <v>616</v>
      </c>
      <c r="N85" s="5"/>
      <c r="Z85" s="42">
        <f>IF(AQ85="5",BJ85,0)</f>
        <v>0</v>
      </c>
      <c r="AB85" s="42">
        <f>IF(AQ85="1",BH85,0)</f>
        <v>0</v>
      </c>
      <c r="AC85" s="42">
        <f>IF(AQ85="1",BI85,0)</f>
        <v>0</v>
      </c>
      <c r="AD85" s="42">
        <f>IF(AQ85="7",BH85,0)</f>
        <v>0</v>
      </c>
      <c r="AE85" s="42">
        <f>IF(AQ85="7",BI85,0)</f>
        <v>0</v>
      </c>
      <c r="AF85" s="42">
        <f>IF(AQ85="2",BH85,0)</f>
        <v>0</v>
      </c>
      <c r="AG85" s="42">
        <f>IF(AQ85="2",BI85,0)</f>
        <v>0</v>
      </c>
      <c r="AH85" s="42">
        <f>IF(AQ85="0",BJ85,0)</f>
        <v>0</v>
      </c>
      <c r="AI85" s="41"/>
      <c r="AJ85" s="24">
        <f>IF(AN85=0,L85,0)</f>
        <v>0</v>
      </c>
      <c r="AK85" s="24">
        <f>IF(AN85=15,L85,0)</f>
        <v>0</v>
      </c>
      <c r="AL85" s="24">
        <f>IF(AN85=21,L85,0)</f>
        <v>0</v>
      </c>
      <c r="AN85" s="42">
        <v>15</v>
      </c>
      <c r="AO85" s="42">
        <f>I85*0</f>
        <v>0</v>
      </c>
      <c r="AP85" s="42">
        <f>I85*(1-0)</f>
        <v>0</v>
      </c>
      <c r="AQ85" s="43" t="s">
        <v>11</v>
      </c>
      <c r="AV85" s="42">
        <f>AW85+AX85</f>
        <v>0</v>
      </c>
      <c r="AW85" s="42">
        <f>H85*AO85</f>
        <v>0</v>
      </c>
      <c r="AX85" s="42">
        <f>H85*AP85</f>
        <v>0</v>
      </c>
      <c r="AY85" s="45" t="s">
        <v>633</v>
      </c>
      <c r="AZ85" s="45" t="s">
        <v>657</v>
      </c>
      <c r="BA85" s="41" t="s">
        <v>664</v>
      </c>
      <c r="BC85" s="42">
        <f>AW85+AX85</f>
        <v>0</v>
      </c>
      <c r="BD85" s="42">
        <f>I85/(100-BE85)*100</f>
        <v>0</v>
      </c>
      <c r="BE85" s="42">
        <v>0</v>
      </c>
      <c r="BF85" s="42">
        <f>83</f>
        <v>83</v>
      </c>
      <c r="BH85" s="24">
        <f>H85*AO85</f>
        <v>0</v>
      </c>
      <c r="BI85" s="24">
        <f>H85*AP85</f>
        <v>0</v>
      </c>
      <c r="BJ85" s="24">
        <f>H85*I85</f>
        <v>0</v>
      </c>
      <c r="BK85" s="24" t="s">
        <v>669</v>
      </c>
      <c r="BL85" s="42">
        <v>713</v>
      </c>
    </row>
    <row r="86" spans="1:64" x14ac:dyDescent="0.25">
      <c r="A86" s="6"/>
      <c r="B86" s="15" t="s">
        <v>183</v>
      </c>
      <c r="C86" s="141" t="s">
        <v>389</v>
      </c>
      <c r="D86" s="142"/>
      <c r="E86" s="142"/>
      <c r="F86" s="142"/>
      <c r="G86" s="22" t="s">
        <v>6</v>
      </c>
      <c r="H86" s="22" t="s">
        <v>6</v>
      </c>
      <c r="I86" s="22" t="s">
        <v>6</v>
      </c>
      <c r="J86" s="48">
        <f>SUM(J87:J87)</f>
        <v>0</v>
      </c>
      <c r="K86" s="48">
        <f>SUM(K87:K87)</f>
        <v>0</v>
      </c>
      <c r="L86" s="48">
        <f>SUM(L87:L87)</f>
        <v>0</v>
      </c>
      <c r="M86" s="37"/>
      <c r="N86" s="5"/>
      <c r="AI86" s="41"/>
      <c r="AS86" s="48">
        <f>SUM(AJ87:AJ87)</f>
        <v>0</v>
      </c>
      <c r="AT86" s="48">
        <f>SUM(AK87:AK87)</f>
        <v>0</v>
      </c>
      <c r="AU86" s="48">
        <f>SUM(AL87:AL87)</f>
        <v>0</v>
      </c>
    </row>
    <row r="87" spans="1:64" x14ac:dyDescent="0.25">
      <c r="A87" s="4" t="s">
        <v>36</v>
      </c>
      <c r="B87" s="14" t="s">
        <v>184</v>
      </c>
      <c r="C87" s="136" t="s">
        <v>390</v>
      </c>
      <c r="D87" s="137"/>
      <c r="E87" s="137"/>
      <c r="F87" s="137"/>
      <c r="G87" s="14" t="s">
        <v>598</v>
      </c>
      <c r="H87" s="78">
        <v>1</v>
      </c>
      <c r="I87" s="24">
        <v>0</v>
      </c>
      <c r="J87" s="24">
        <f>H87*AO87</f>
        <v>0</v>
      </c>
      <c r="K87" s="24">
        <f>H87*AP87</f>
        <v>0</v>
      </c>
      <c r="L87" s="24">
        <f>H87*I87</f>
        <v>0</v>
      </c>
      <c r="M87" s="35" t="s">
        <v>616</v>
      </c>
      <c r="N87" s="5"/>
      <c r="Z87" s="42">
        <f>IF(AQ87="5",BJ87,0)</f>
        <v>0</v>
      </c>
      <c r="AB87" s="42">
        <f>IF(AQ87="1",BH87,0)</f>
        <v>0</v>
      </c>
      <c r="AC87" s="42">
        <f>IF(AQ87="1",BI87,0)</f>
        <v>0</v>
      </c>
      <c r="AD87" s="42">
        <f>IF(AQ87="7",BH87,0)</f>
        <v>0</v>
      </c>
      <c r="AE87" s="42">
        <f>IF(AQ87="7",BI87,0)</f>
        <v>0</v>
      </c>
      <c r="AF87" s="42">
        <f>IF(AQ87="2",BH87,0)</f>
        <v>0</v>
      </c>
      <c r="AG87" s="42">
        <f>IF(AQ87="2",BI87,0)</f>
        <v>0</v>
      </c>
      <c r="AH87" s="42">
        <f>IF(AQ87="0",BJ87,0)</f>
        <v>0</v>
      </c>
      <c r="AI87" s="41"/>
      <c r="AJ87" s="24">
        <f>IF(AN87=0,L87,0)</f>
        <v>0</v>
      </c>
      <c r="AK87" s="24">
        <f>IF(AN87=15,L87,0)</f>
        <v>0</v>
      </c>
      <c r="AL87" s="24">
        <f>IF(AN87=21,L87,0)</f>
        <v>0</v>
      </c>
      <c r="AN87" s="42">
        <v>15</v>
      </c>
      <c r="AO87" s="42">
        <f>I87*0</f>
        <v>0</v>
      </c>
      <c r="AP87" s="42">
        <f>I87*(1-0)</f>
        <v>0</v>
      </c>
      <c r="AQ87" s="43" t="s">
        <v>13</v>
      </c>
      <c r="AV87" s="42">
        <f>AW87+AX87</f>
        <v>0</v>
      </c>
      <c r="AW87" s="42">
        <f>H87*AO87</f>
        <v>0</v>
      </c>
      <c r="AX87" s="42">
        <f>H87*AP87</f>
        <v>0</v>
      </c>
      <c r="AY87" s="45" t="s">
        <v>634</v>
      </c>
      <c r="AZ87" s="45" t="s">
        <v>658</v>
      </c>
      <c r="BA87" s="41" t="s">
        <v>664</v>
      </c>
      <c r="BC87" s="42">
        <f>AW87+AX87</f>
        <v>0</v>
      </c>
      <c r="BD87" s="42">
        <f>I87/(100-BE87)*100</f>
        <v>0</v>
      </c>
      <c r="BE87" s="42">
        <v>0</v>
      </c>
      <c r="BF87" s="42">
        <f>85</f>
        <v>85</v>
      </c>
      <c r="BH87" s="24">
        <f>H87*AO87</f>
        <v>0</v>
      </c>
      <c r="BI87" s="24">
        <f>H87*AP87</f>
        <v>0</v>
      </c>
      <c r="BJ87" s="24">
        <f>H87*I87</f>
        <v>0</v>
      </c>
      <c r="BK87" s="24" t="s">
        <v>669</v>
      </c>
      <c r="BL87" s="42">
        <v>721</v>
      </c>
    </row>
    <row r="88" spans="1:64" x14ac:dyDescent="0.25">
      <c r="A88" s="6"/>
      <c r="B88" s="15" t="s">
        <v>185</v>
      </c>
      <c r="C88" s="141" t="s">
        <v>391</v>
      </c>
      <c r="D88" s="142"/>
      <c r="E88" s="142"/>
      <c r="F88" s="142"/>
      <c r="G88" s="22" t="s">
        <v>6</v>
      </c>
      <c r="H88" s="22" t="s">
        <v>6</v>
      </c>
      <c r="I88" s="22" t="s">
        <v>6</v>
      </c>
      <c r="J88" s="48">
        <f>SUM(J89:J113)</f>
        <v>0</v>
      </c>
      <c r="K88" s="48">
        <f>SUM(K89:K113)</f>
        <v>0</v>
      </c>
      <c r="L88" s="48">
        <f>SUM(L89:L113)</f>
        <v>0</v>
      </c>
      <c r="M88" s="37"/>
      <c r="N88" s="5"/>
      <c r="AI88" s="41"/>
      <c r="AS88" s="48">
        <f>SUM(AJ89:AJ113)</f>
        <v>0</v>
      </c>
      <c r="AT88" s="48">
        <f>SUM(AK89:AK113)</f>
        <v>0</v>
      </c>
      <c r="AU88" s="48">
        <f>SUM(AL89:AL113)</f>
        <v>0</v>
      </c>
    </row>
    <row r="89" spans="1:64" x14ac:dyDescent="0.25">
      <c r="A89" s="4" t="s">
        <v>37</v>
      </c>
      <c r="B89" s="14" t="s">
        <v>186</v>
      </c>
      <c r="C89" s="136" t="s">
        <v>392</v>
      </c>
      <c r="D89" s="137"/>
      <c r="E89" s="137"/>
      <c r="F89" s="137"/>
      <c r="G89" s="14" t="s">
        <v>600</v>
      </c>
      <c r="H89" s="78">
        <v>1</v>
      </c>
      <c r="I89" s="24">
        <v>0</v>
      </c>
      <c r="J89" s="24">
        <f t="shared" ref="J89:J95" si="0">H89*AO89</f>
        <v>0</v>
      </c>
      <c r="K89" s="24">
        <f t="shared" ref="K89:K95" si="1">H89*AP89</f>
        <v>0</v>
      </c>
      <c r="L89" s="24">
        <f t="shared" ref="L89:L95" si="2">H89*I89</f>
        <v>0</v>
      </c>
      <c r="M89" s="35" t="s">
        <v>616</v>
      </c>
      <c r="N89" s="5"/>
      <c r="Z89" s="42">
        <f t="shared" ref="Z89:Z95" si="3">IF(AQ89="5",BJ89,0)</f>
        <v>0</v>
      </c>
      <c r="AB89" s="42">
        <f t="shared" ref="AB89:AB95" si="4">IF(AQ89="1",BH89,0)</f>
        <v>0</v>
      </c>
      <c r="AC89" s="42">
        <f t="shared" ref="AC89:AC95" si="5">IF(AQ89="1",BI89,0)</f>
        <v>0</v>
      </c>
      <c r="AD89" s="42">
        <f t="shared" ref="AD89:AD95" si="6">IF(AQ89="7",BH89,0)</f>
        <v>0</v>
      </c>
      <c r="AE89" s="42">
        <f t="shared" ref="AE89:AE95" si="7">IF(AQ89="7",BI89,0)</f>
        <v>0</v>
      </c>
      <c r="AF89" s="42">
        <f t="shared" ref="AF89:AF95" si="8">IF(AQ89="2",BH89,0)</f>
        <v>0</v>
      </c>
      <c r="AG89" s="42">
        <f t="shared" ref="AG89:AG95" si="9">IF(AQ89="2",BI89,0)</f>
        <v>0</v>
      </c>
      <c r="AH89" s="42">
        <f t="shared" ref="AH89:AH95" si="10">IF(AQ89="0",BJ89,0)</f>
        <v>0</v>
      </c>
      <c r="AI89" s="41"/>
      <c r="AJ89" s="24">
        <f t="shared" ref="AJ89:AJ95" si="11">IF(AN89=0,L89,0)</f>
        <v>0</v>
      </c>
      <c r="AK89" s="24">
        <f t="shared" ref="AK89:AK95" si="12">IF(AN89=15,L89,0)</f>
        <v>0</v>
      </c>
      <c r="AL89" s="24">
        <f t="shared" ref="AL89:AL95" si="13">IF(AN89=21,L89,0)</f>
        <v>0</v>
      </c>
      <c r="AN89" s="42">
        <v>15</v>
      </c>
      <c r="AO89" s="42">
        <f t="shared" ref="AO89:AO95" si="14">I89*0</f>
        <v>0</v>
      </c>
      <c r="AP89" s="42">
        <f t="shared" ref="AP89:AP95" si="15">I89*(1-0)</f>
        <v>0</v>
      </c>
      <c r="AQ89" s="43" t="s">
        <v>13</v>
      </c>
      <c r="AV89" s="42">
        <f t="shared" ref="AV89:AV95" si="16">AW89+AX89</f>
        <v>0</v>
      </c>
      <c r="AW89" s="42">
        <f t="shared" ref="AW89:AW95" si="17">H89*AO89</f>
        <v>0</v>
      </c>
      <c r="AX89" s="42">
        <f t="shared" ref="AX89:AX95" si="18">H89*AP89</f>
        <v>0</v>
      </c>
      <c r="AY89" s="45" t="s">
        <v>635</v>
      </c>
      <c r="AZ89" s="45" t="s">
        <v>658</v>
      </c>
      <c r="BA89" s="41" t="s">
        <v>664</v>
      </c>
      <c r="BC89" s="42">
        <f t="shared" ref="BC89:BC95" si="19">AW89+AX89</f>
        <v>0</v>
      </c>
      <c r="BD89" s="42">
        <f t="shared" ref="BD89:BD95" si="20">I89/(100-BE89)*100</f>
        <v>0</v>
      </c>
      <c r="BE89" s="42">
        <v>0</v>
      </c>
      <c r="BF89" s="42">
        <f>87</f>
        <v>87</v>
      </c>
      <c r="BH89" s="24">
        <f t="shared" ref="BH89:BH95" si="21">H89*AO89</f>
        <v>0</v>
      </c>
      <c r="BI89" s="24">
        <f t="shared" ref="BI89:BI95" si="22">H89*AP89</f>
        <v>0</v>
      </c>
      <c r="BJ89" s="24">
        <f t="shared" ref="BJ89:BJ95" si="23">H89*I89</f>
        <v>0</v>
      </c>
      <c r="BK89" s="24" t="s">
        <v>669</v>
      </c>
      <c r="BL89" s="42">
        <v>725</v>
      </c>
    </row>
    <row r="90" spans="1:64" x14ac:dyDescent="0.25">
      <c r="A90" s="4" t="s">
        <v>38</v>
      </c>
      <c r="B90" s="14" t="s">
        <v>187</v>
      </c>
      <c r="C90" s="136" t="s">
        <v>393</v>
      </c>
      <c r="D90" s="137"/>
      <c r="E90" s="137"/>
      <c r="F90" s="137"/>
      <c r="G90" s="14" t="s">
        <v>600</v>
      </c>
      <c r="H90" s="78">
        <v>1</v>
      </c>
      <c r="I90" s="24">
        <v>0</v>
      </c>
      <c r="J90" s="24">
        <f t="shared" si="0"/>
        <v>0</v>
      </c>
      <c r="K90" s="24">
        <f t="shared" si="1"/>
        <v>0</v>
      </c>
      <c r="L90" s="24">
        <f t="shared" si="2"/>
        <v>0</v>
      </c>
      <c r="M90" s="35" t="s">
        <v>616</v>
      </c>
      <c r="N90" s="5"/>
      <c r="Z90" s="42">
        <f t="shared" si="3"/>
        <v>0</v>
      </c>
      <c r="AB90" s="42">
        <f t="shared" si="4"/>
        <v>0</v>
      </c>
      <c r="AC90" s="42">
        <f t="shared" si="5"/>
        <v>0</v>
      </c>
      <c r="AD90" s="42">
        <f t="shared" si="6"/>
        <v>0</v>
      </c>
      <c r="AE90" s="42">
        <f t="shared" si="7"/>
        <v>0</v>
      </c>
      <c r="AF90" s="42">
        <f t="shared" si="8"/>
        <v>0</v>
      </c>
      <c r="AG90" s="42">
        <f t="shared" si="9"/>
        <v>0</v>
      </c>
      <c r="AH90" s="42">
        <f t="shared" si="10"/>
        <v>0</v>
      </c>
      <c r="AI90" s="41"/>
      <c r="AJ90" s="24">
        <f t="shared" si="11"/>
        <v>0</v>
      </c>
      <c r="AK90" s="24">
        <f t="shared" si="12"/>
        <v>0</v>
      </c>
      <c r="AL90" s="24">
        <f t="shared" si="13"/>
        <v>0</v>
      </c>
      <c r="AN90" s="42">
        <v>15</v>
      </c>
      <c r="AO90" s="42">
        <f t="shared" si="14"/>
        <v>0</v>
      </c>
      <c r="AP90" s="42">
        <f t="shared" si="15"/>
        <v>0</v>
      </c>
      <c r="AQ90" s="43" t="s">
        <v>13</v>
      </c>
      <c r="AV90" s="42">
        <f t="shared" si="16"/>
        <v>0</v>
      </c>
      <c r="AW90" s="42">
        <f t="shared" si="17"/>
        <v>0</v>
      </c>
      <c r="AX90" s="42">
        <f t="shared" si="18"/>
        <v>0</v>
      </c>
      <c r="AY90" s="45" t="s">
        <v>635</v>
      </c>
      <c r="AZ90" s="45" t="s">
        <v>658</v>
      </c>
      <c r="BA90" s="41" t="s">
        <v>664</v>
      </c>
      <c r="BC90" s="42">
        <f t="shared" si="19"/>
        <v>0</v>
      </c>
      <c r="BD90" s="42">
        <f t="shared" si="20"/>
        <v>0</v>
      </c>
      <c r="BE90" s="42">
        <v>0</v>
      </c>
      <c r="BF90" s="42">
        <f>88</f>
        <v>88</v>
      </c>
      <c r="BH90" s="24">
        <f t="shared" si="21"/>
        <v>0</v>
      </c>
      <c r="BI90" s="24">
        <f t="shared" si="22"/>
        <v>0</v>
      </c>
      <c r="BJ90" s="24">
        <f t="shared" si="23"/>
        <v>0</v>
      </c>
      <c r="BK90" s="24" t="s">
        <v>669</v>
      </c>
      <c r="BL90" s="42">
        <v>725</v>
      </c>
    </row>
    <row r="91" spans="1:64" x14ac:dyDescent="0.25">
      <c r="A91" s="4" t="s">
        <v>39</v>
      </c>
      <c r="B91" s="14" t="s">
        <v>188</v>
      </c>
      <c r="C91" s="136" t="s">
        <v>394</v>
      </c>
      <c r="D91" s="137"/>
      <c r="E91" s="137"/>
      <c r="F91" s="137"/>
      <c r="G91" s="14" t="s">
        <v>600</v>
      </c>
      <c r="H91" s="78">
        <v>1</v>
      </c>
      <c r="I91" s="24">
        <v>0</v>
      </c>
      <c r="J91" s="24">
        <f t="shared" si="0"/>
        <v>0</v>
      </c>
      <c r="K91" s="24">
        <f t="shared" si="1"/>
        <v>0</v>
      </c>
      <c r="L91" s="24">
        <f t="shared" si="2"/>
        <v>0</v>
      </c>
      <c r="M91" s="35" t="s">
        <v>616</v>
      </c>
      <c r="N91" s="5"/>
      <c r="Z91" s="42">
        <f t="shared" si="3"/>
        <v>0</v>
      </c>
      <c r="AB91" s="42">
        <f t="shared" si="4"/>
        <v>0</v>
      </c>
      <c r="AC91" s="42">
        <f t="shared" si="5"/>
        <v>0</v>
      </c>
      <c r="AD91" s="42">
        <f t="shared" si="6"/>
        <v>0</v>
      </c>
      <c r="AE91" s="42">
        <f t="shared" si="7"/>
        <v>0</v>
      </c>
      <c r="AF91" s="42">
        <f t="shared" si="8"/>
        <v>0</v>
      </c>
      <c r="AG91" s="42">
        <f t="shared" si="9"/>
        <v>0</v>
      </c>
      <c r="AH91" s="42">
        <f t="shared" si="10"/>
        <v>0</v>
      </c>
      <c r="AI91" s="41"/>
      <c r="AJ91" s="24">
        <f t="shared" si="11"/>
        <v>0</v>
      </c>
      <c r="AK91" s="24">
        <f t="shared" si="12"/>
        <v>0</v>
      </c>
      <c r="AL91" s="24">
        <f t="shared" si="13"/>
        <v>0</v>
      </c>
      <c r="AN91" s="42">
        <v>15</v>
      </c>
      <c r="AO91" s="42">
        <f t="shared" si="14"/>
        <v>0</v>
      </c>
      <c r="AP91" s="42">
        <f t="shared" si="15"/>
        <v>0</v>
      </c>
      <c r="AQ91" s="43" t="s">
        <v>13</v>
      </c>
      <c r="AV91" s="42">
        <f t="shared" si="16"/>
        <v>0</v>
      </c>
      <c r="AW91" s="42">
        <f t="shared" si="17"/>
        <v>0</v>
      </c>
      <c r="AX91" s="42">
        <f t="shared" si="18"/>
        <v>0</v>
      </c>
      <c r="AY91" s="45" t="s">
        <v>635</v>
      </c>
      <c r="AZ91" s="45" t="s">
        <v>658</v>
      </c>
      <c r="BA91" s="41" t="s">
        <v>664</v>
      </c>
      <c r="BC91" s="42">
        <f t="shared" si="19"/>
        <v>0</v>
      </c>
      <c r="BD91" s="42">
        <f t="shared" si="20"/>
        <v>0</v>
      </c>
      <c r="BE91" s="42">
        <v>0</v>
      </c>
      <c r="BF91" s="42">
        <f>89</f>
        <v>89</v>
      </c>
      <c r="BH91" s="24">
        <f t="shared" si="21"/>
        <v>0</v>
      </c>
      <c r="BI91" s="24">
        <f t="shared" si="22"/>
        <v>0</v>
      </c>
      <c r="BJ91" s="24">
        <f t="shared" si="23"/>
        <v>0</v>
      </c>
      <c r="BK91" s="24" t="s">
        <v>669</v>
      </c>
      <c r="BL91" s="42">
        <v>725</v>
      </c>
    </row>
    <row r="92" spans="1:64" x14ac:dyDescent="0.25">
      <c r="A92" s="4" t="s">
        <v>40</v>
      </c>
      <c r="B92" s="14" t="s">
        <v>189</v>
      </c>
      <c r="C92" s="136" t="s">
        <v>395</v>
      </c>
      <c r="D92" s="137"/>
      <c r="E92" s="137"/>
      <c r="F92" s="137"/>
      <c r="G92" s="14" t="s">
        <v>598</v>
      </c>
      <c r="H92" s="78">
        <v>1</v>
      </c>
      <c r="I92" s="24">
        <v>0</v>
      </c>
      <c r="J92" s="24">
        <f t="shared" si="0"/>
        <v>0</v>
      </c>
      <c r="K92" s="24">
        <f t="shared" si="1"/>
        <v>0</v>
      </c>
      <c r="L92" s="24">
        <f t="shared" si="2"/>
        <v>0</v>
      </c>
      <c r="M92" s="35" t="s">
        <v>616</v>
      </c>
      <c r="N92" s="5"/>
      <c r="Z92" s="42">
        <f t="shared" si="3"/>
        <v>0</v>
      </c>
      <c r="AB92" s="42">
        <f t="shared" si="4"/>
        <v>0</v>
      </c>
      <c r="AC92" s="42">
        <f t="shared" si="5"/>
        <v>0</v>
      </c>
      <c r="AD92" s="42">
        <f t="shared" si="6"/>
        <v>0</v>
      </c>
      <c r="AE92" s="42">
        <f t="shared" si="7"/>
        <v>0</v>
      </c>
      <c r="AF92" s="42">
        <f t="shared" si="8"/>
        <v>0</v>
      </c>
      <c r="AG92" s="42">
        <f t="shared" si="9"/>
        <v>0</v>
      </c>
      <c r="AH92" s="42">
        <f t="shared" si="10"/>
        <v>0</v>
      </c>
      <c r="AI92" s="41"/>
      <c r="AJ92" s="24">
        <f t="shared" si="11"/>
        <v>0</v>
      </c>
      <c r="AK92" s="24">
        <f t="shared" si="12"/>
        <v>0</v>
      </c>
      <c r="AL92" s="24">
        <f t="shared" si="13"/>
        <v>0</v>
      </c>
      <c r="AN92" s="42">
        <v>15</v>
      </c>
      <c r="AO92" s="42">
        <f t="shared" si="14"/>
        <v>0</v>
      </c>
      <c r="AP92" s="42">
        <f t="shared" si="15"/>
        <v>0</v>
      </c>
      <c r="AQ92" s="43" t="s">
        <v>13</v>
      </c>
      <c r="AV92" s="42">
        <f t="shared" si="16"/>
        <v>0</v>
      </c>
      <c r="AW92" s="42">
        <f t="shared" si="17"/>
        <v>0</v>
      </c>
      <c r="AX92" s="42">
        <f t="shared" si="18"/>
        <v>0</v>
      </c>
      <c r="AY92" s="45" t="s">
        <v>635</v>
      </c>
      <c r="AZ92" s="45" t="s">
        <v>658</v>
      </c>
      <c r="BA92" s="41" t="s">
        <v>664</v>
      </c>
      <c r="BC92" s="42">
        <f t="shared" si="19"/>
        <v>0</v>
      </c>
      <c r="BD92" s="42">
        <f t="shared" si="20"/>
        <v>0</v>
      </c>
      <c r="BE92" s="42">
        <v>0</v>
      </c>
      <c r="BF92" s="42">
        <f>90</f>
        <v>90</v>
      </c>
      <c r="BH92" s="24">
        <f t="shared" si="21"/>
        <v>0</v>
      </c>
      <c r="BI92" s="24">
        <f t="shared" si="22"/>
        <v>0</v>
      </c>
      <c r="BJ92" s="24">
        <f t="shared" si="23"/>
        <v>0</v>
      </c>
      <c r="BK92" s="24" t="s">
        <v>669</v>
      </c>
      <c r="BL92" s="42">
        <v>725</v>
      </c>
    </row>
    <row r="93" spans="1:64" x14ac:dyDescent="0.25">
      <c r="A93" s="4" t="s">
        <v>41</v>
      </c>
      <c r="B93" s="14" t="s">
        <v>190</v>
      </c>
      <c r="C93" s="136" t="s">
        <v>396</v>
      </c>
      <c r="D93" s="137"/>
      <c r="E93" s="137"/>
      <c r="F93" s="137"/>
      <c r="G93" s="14" t="s">
        <v>600</v>
      </c>
      <c r="H93" s="78">
        <v>1</v>
      </c>
      <c r="I93" s="24">
        <v>0</v>
      </c>
      <c r="J93" s="24">
        <f t="shared" si="0"/>
        <v>0</v>
      </c>
      <c r="K93" s="24">
        <f t="shared" si="1"/>
        <v>0</v>
      </c>
      <c r="L93" s="24">
        <f t="shared" si="2"/>
        <v>0</v>
      </c>
      <c r="M93" s="35" t="s">
        <v>616</v>
      </c>
      <c r="N93" s="5"/>
      <c r="Z93" s="42">
        <f t="shared" si="3"/>
        <v>0</v>
      </c>
      <c r="AB93" s="42">
        <f t="shared" si="4"/>
        <v>0</v>
      </c>
      <c r="AC93" s="42">
        <f t="shared" si="5"/>
        <v>0</v>
      </c>
      <c r="AD93" s="42">
        <f t="shared" si="6"/>
        <v>0</v>
      </c>
      <c r="AE93" s="42">
        <f t="shared" si="7"/>
        <v>0</v>
      </c>
      <c r="AF93" s="42">
        <f t="shared" si="8"/>
        <v>0</v>
      </c>
      <c r="AG93" s="42">
        <f t="shared" si="9"/>
        <v>0</v>
      </c>
      <c r="AH93" s="42">
        <f t="shared" si="10"/>
        <v>0</v>
      </c>
      <c r="AI93" s="41"/>
      <c r="AJ93" s="24">
        <f t="shared" si="11"/>
        <v>0</v>
      </c>
      <c r="AK93" s="24">
        <f t="shared" si="12"/>
        <v>0</v>
      </c>
      <c r="AL93" s="24">
        <f t="shared" si="13"/>
        <v>0</v>
      </c>
      <c r="AN93" s="42">
        <v>15</v>
      </c>
      <c r="AO93" s="42">
        <f t="shared" si="14"/>
        <v>0</v>
      </c>
      <c r="AP93" s="42">
        <f t="shared" si="15"/>
        <v>0</v>
      </c>
      <c r="AQ93" s="43" t="s">
        <v>13</v>
      </c>
      <c r="AV93" s="42">
        <f t="shared" si="16"/>
        <v>0</v>
      </c>
      <c r="AW93" s="42">
        <f t="shared" si="17"/>
        <v>0</v>
      </c>
      <c r="AX93" s="42">
        <f t="shared" si="18"/>
        <v>0</v>
      </c>
      <c r="AY93" s="45" t="s">
        <v>635</v>
      </c>
      <c r="AZ93" s="45" t="s">
        <v>658</v>
      </c>
      <c r="BA93" s="41" t="s">
        <v>664</v>
      </c>
      <c r="BC93" s="42">
        <f t="shared" si="19"/>
        <v>0</v>
      </c>
      <c r="BD93" s="42">
        <f t="shared" si="20"/>
        <v>0</v>
      </c>
      <c r="BE93" s="42">
        <v>0</v>
      </c>
      <c r="BF93" s="42">
        <f>91</f>
        <v>91</v>
      </c>
      <c r="BH93" s="24">
        <f t="shared" si="21"/>
        <v>0</v>
      </c>
      <c r="BI93" s="24">
        <f t="shared" si="22"/>
        <v>0</v>
      </c>
      <c r="BJ93" s="24">
        <f t="shared" si="23"/>
        <v>0</v>
      </c>
      <c r="BK93" s="24" t="s">
        <v>669</v>
      </c>
      <c r="BL93" s="42">
        <v>725</v>
      </c>
    </row>
    <row r="94" spans="1:64" x14ac:dyDescent="0.25">
      <c r="A94" s="4" t="s">
        <v>42</v>
      </c>
      <c r="B94" s="14" t="s">
        <v>191</v>
      </c>
      <c r="C94" s="136" t="s">
        <v>397</v>
      </c>
      <c r="D94" s="137"/>
      <c r="E94" s="137"/>
      <c r="F94" s="137"/>
      <c r="G94" s="14" t="s">
        <v>598</v>
      </c>
      <c r="H94" s="78">
        <v>1</v>
      </c>
      <c r="I94" s="24">
        <v>0</v>
      </c>
      <c r="J94" s="24">
        <f t="shared" si="0"/>
        <v>0</v>
      </c>
      <c r="K94" s="24">
        <f t="shared" si="1"/>
        <v>0</v>
      </c>
      <c r="L94" s="24">
        <f t="shared" si="2"/>
        <v>0</v>
      </c>
      <c r="M94" s="35" t="s">
        <v>616</v>
      </c>
      <c r="N94" s="5"/>
      <c r="Z94" s="42">
        <f t="shared" si="3"/>
        <v>0</v>
      </c>
      <c r="AB94" s="42">
        <f t="shared" si="4"/>
        <v>0</v>
      </c>
      <c r="AC94" s="42">
        <f t="shared" si="5"/>
        <v>0</v>
      </c>
      <c r="AD94" s="42">
        <f t="shared" si="6"/>
        <v>0</v>
      </c>
      <c r="AE94" s="42">
        <f t="shared" si="7"/>
        <v>0</v>
      </c>
      <c r="AF94" s="42">
        <f t="shared" si="8"/>
        <v>0</v>
      </c>
      <c r="AG94" s="42">
        <f t="shared" si="9"/>
        <v>0</v>
      </c>
      <c r="AH94" s="42">
        <f t="shared" si="10"/>
        <v>0</v>
      </c>
      <c r="AI94" s="41"/>
      <c r="AJ94" s="24">
        <f t="shared" si="11"/>
        <v>0</v>
      </c>
      <c r="AK94" s="24">
        <f t="shared" si="12"/>
        <v>0</v>
      </c>
      <c r="AL94" s="24">
        <f t="shared" si="13"/>
        <v>0</v>
      </c>
      <c r="AN94" s="42">
        <v>15</v>
      </c>
      <c r="AO94" s="42">
        <f t="shared" si="14"/>
        <v>0</v>
      </c>
      <c r="AP94" s="42">
        <f t="shared" si="15"/>
        <v>0</v>
      </c>
      <c r="AQ94" s="43" t="s">
        <v>13</v>
      </c>
      <c r="AV94" s="42">
        <f t="shared" si="16"/>
        <v>0</v>
      </c>
      <c r="AW94" s="42">
        <f t="shared" si="17"/>
        <v>0</v>
      </c>
      <c r="AX94" s="42">
        <f t="shared" si="18"/>
        <v>0</v>
      </c>
      <c r="AY94" s="45" t="s">
        <v>635</v>
      </c>
      <c r="AZ94" s="45" t="s">
        <v>658</v>
      </c>
      <c r="BA94" s="41" t="s">
        <v>664</v>
      </c>
      <c r="BC94" s="42">
        <f t="shared" si="19"/>
        <v>0</v>
      </c>
      <c r="BD94" s="42">
        <f t="shared" si="20"/>
        <v>0</v>
      </c>
      <c r="BE94" s="42">
        <v>0</v>
      </c>
      <c r="BF94" s="42">
        <f>92</f>
        <v>92</v>
      </c>
      <c r="BH94" s="24">
        <f t="shared" si="21"/>
        <v>0</v>
      </c>
      <c r="BI94" s="24">
        <f t="shared" si="22"/>
        <v>0</v>
      </c>
      <c r="BJ94" s="24">
        <f t="shared" si="23"/>
        <v>0</v>
      </c>
      <c r="BK94" s="24" t="s">
        <v>669</v>
      </c>
      <c r="BL94" s="42">
        <v>725</v>
      </c>
    </row>
    <row r="95" spans="1:64" x14ac:dyDescent="0.25">
      <c r="A95" s="4" t="s">
        <v>43</v>
      </c>
      <c r="B95" s="14" t="s">
        <v>192</v>
      </c>
      <c r="C95" s="136" t="s">
        <v>398</v>
      </c>
      <c r="D95" s="137"/>
      <c r="E95" s="137"/>
      <c r="F95" s="137"/>
      <c r="G95" s="14" t="s">
        <v>594</v>
      </c>
      <c r="H95" s="78">
        <v>7.4999999999999997E-2</v>
      </c>
      <c r="I95" s="24">
        <v>0</v>
      </c>
      <c r="J95" s="24">
        <f t="shared" si="0"/>
        <v>0</v>
      </c>
      <c r="K95" s="24">
        <f t="shared" si="1"/>
        <v>0</v>
      </c>
      <c r="L95" s="24">
        <f t="shared" si="2"/>
        <v>0</v>
      </c>
      <c r="M95" s="35" t="s">
        <v>616</v>
      </c>
      <c r="N95" s="5"/>
      <c r="Z95" s="42">
        <f t="shared" si="3"/>
        <v>0</v>
      </c>
      <c r="AB95" s="42">
        <f t="shared" si="4"/>
        <v>0</v>
      </c>
      <c r="AC95" s="42">
        <f t="shared" si="5"/>
        <v>0</v>
      </c>
      <c r="AD95" s="42">
        <f t="shared" si="6"/>
        <v>0</v>
      </c>
      <c r="AE95" s="42">
        <f t="shared" si="7"/>
        <v>0</v>
      </c>
      <c r="AF95" s="42">
        <f t="shared" si="8"/>
        <v>0</v>
      </c>
      <c r="AG95" s="42">
        <f t="shared" si="9"/>
        <v>0</v>
      </c>
      <c r="AH95" s="42">
        <f t="shared" si="10"/>
        <v>0</v>
      </c>
      <c r="AI95" s="41"/>
      <c r="AJ95" s="24">
        <f t="shared" si="11"/>
        <v>0</v>
      </c>
      <c r="AK95" s="24">
        <f t="shared" si="12"/>
        <v>0</v>
      </c>
      <c r="AL95" s="24">
        <f t="shared" si="13"/>
        <v>0</v>
      </c>
      <c r="AN95" s="42">
        <v>15</v>
      </c>
      <c r="AO95" s="42">
        <f t="shared" si="14"/>
        <v>0</v>
      </c>
      <c r="AP95" s="42">
        <f t="shared" si="15"/>
        <v>0</v>
      </c>
      <c r="AQ95" s="43" t="s">
        <v>13</v>
      </c>
      <c r="AV95" s="42">
        <f t="shared" si="16"/>
        <v>0</v>
      </c>
      <c r="AW95" s="42">
        <f t="shared" si="17"/>
        <v>0</v>
      </c>
      <c r="AX95" s="42">
        <f t="shared" si="18"/>
        <v>0</v>
      </c>
      <c r="AY95" s="45" t="s">
        <v>635</v>
      </c>
      <c r="AZ95" s="45" t="s">
        <v>658</v>
      </c>
      <c r="BA95" s="41" t="s">
        <v>664</v>
      </c>
      <c r="BC95" s="42">
        <f t="shared" si="19"/>
        <v>0</v>
      </c>
      <c r="BD95" s="42">
        <f t="shared" si="20"/>
        <v>0</v>
      </c>
      <c r="BE95" s="42">
        <v>0</v>
      </c>
      <c r="BF95" s="42">
        <f>93</f>
        <v>93</v>
      </c>
      <c r="BH95" s="24">
        <f t="shared" si="21"/>
        <v>0</v>
      </c>
      <c r="BI95" s="24">
        <f t="shared" si="22"/>
        <v>0</v>
      </c>
      <c r="BJ95" s="24">
        <f t="shared" si="23"/>
        <v>0</v>
      </c>
      <c r="BK95" s="24" t="s">
        <v>669</v>
      </c>
      <c r="BL95" s="42">
        <v>725</v>
      </c>
    </row>
    <row r="96" spans="1:64" x14ac:dyDescent="0.25">
      <c r="A96" s="5"/>
      <c r="C96" s="18" t="s">
        <v>399</v>
      </c>
      <c r="F96" s="20"/>
      <c r="H96" s="79">
        <v>7.4999999999999997E-2</v>
      </c>
      <c r="M96" s="36"/>
      <c r="N96" s="5"/>
    </row>
    <row r="97" spans="1:64" x14ac:dyDescent="0.25">
      <c r="A97" s="4" t="s">
        <v>44</v>
      </c>
      <c r="B97" s="14" t="s">
        <v>193</v>
      </c>
      <c r="C97" s="136" t="s">
        <v>400</v>
      </c>
      <c r="D97" s="137"/>
      <c r="E97" s="137"/>
      <c r="F97" s="137"/>
      <c r="G97" s="14" t="s">
        <v>600</v>
      </c>
      <c r="H97" s="78">
        <v>1</v>
      </c>
      <c r="I97" s="24">
        <v>0</v>
      </c>
      <c r="J97" s="24">
        <f t="shared" ref="J97:J113" si="24">H97*AO97</f>
        <v>0</v>
      </c>
      <c r="K97" s="24">
        <f t="shared" ref="K97:K113" si="25">H97*AP97</f>
        <v>0</v>
      </c>
      <c r="L97" s="24">
        <f t="shared" ref="L97:L113" si="26">H97*I97</f>
        <v>0</v>
      </c>
      <c r="M97" s="35" t="s">
        <v>616</v>
      </c>
      <c r="N97" s="5"/>
      <c r="Z97" s="42">
        <f t="shared" ref="Z97:Z113" si="27">IF(AQ97="5",BJ97,0)</f>
        <v>0</v>
      </c>
      <c r="AB97" s="42">
        <f t="shared" ref="AB97:AB113" si="28">IF(AQ97="1",BH97,0)</f>
        <v>0</v>
      </c>
      <c r="AC97" s="42">
        <f t="shared" ref="AC97:AC113" si="29">IF(AQ97="1",BI97,0)</f>
        <v>0</v>
      </c>
      <c r="AD97" s="42">
        <f t="shared" ref="AD97:AD113" si="30">IF(AQ97="7",BH97,0)</f>
        <v>0</v>
      </c>
      <c r="AE97" s="42">
        <f t="shared" ref="AE97:AE113" si="31">IF(AQ97="7",BI97,0)</f>
        <v>0</v>
      </c>
      <c r="AF97" s="42">
        <f t="shared" ref="AF97:AF113" si="32">IF(AQ97="2",BH97,0)</f>
        <v>0</v>
      </c>
      <c r="AG97" s="42">
        <f t="shared" ref="AG97:AG113" si="33">IF(AQ97="2",BI97,0)</f>
        <v>0</v>
      </c>
      <c r="AH97" s="42">
        <f t="shared" ref="AH97:AH113" si="34">IF(AQ97="0",BJ97,0)</f>
        <v>0</v>
      </c>
      <c r="AI97" s="41"/>
      <c r="AJ97" s="24">
        <f t="shared" ref="AJ97:AJ113" si="35">IF(AN97=0,L97,0)</f>
        <v>0</v>
      </c>
      <c r="AK97" s="24">
        <f t="shared" ref="AK97:AK113" si="36">IF(AN97=15,L97,0)</f>
        <v>0</v>
      </c>
      <c r="AL97" s="24">
        <f t="shared" ref="AL97:AL113" si="37">IF(AN97=21,L97,0)</f>
        <v>0</v>
      </c>
      <c r="AN97" s="42">
        <v>15</v>
      </c>
      <c r="AO97" s="42">
        <f>I97*0.928473011803655</f>
        <v>0</v>
      </c>
      <c r="AP97" s="42">
        <f>I97*(1-0.928473011803655)</f>
        <v>0</v>
      </c>
      <c r="AQ97" s="43" t="s">
        <v>13</v>
      </c>
      <c r="AV97" s="42">
        <f t="shared" ref="AV97:AV113" si="38">AW97+AX97</f>
        <v>0</v>
      </c>
      <c r="AW97" s="42">
        <f t="shared" ref="AW97:AW113" si="39">H97*AO97</f>
        <v>0</v>
      </c>
      <c r="AX97" s="42">
        <f t="shared" ref="AX97:AX113" si="40">H97*AP97</f>
        <v>0</v>
      </c>
      <c r="AY97" s="45" t="s">
        <v>635</v>
      </c>
      <c r="AZ97" s="45" t="s">
        <v>658</v>
      </c>
      <c r="BA97" s="41" t="s">
        <v>664</v>
      </c>
      <c r="BC97" s="42">
        <f t="shared" ref="BC97:BC113" si="41">AW97+AX97</f>
        <v>0</v>
      </c>
      <c r="BD97" s="42">
        <f t="shared" ref="BD97:BD113" si="42">I97/(100-BE97)*100</f>
        <v>0</v>
      </c>
      <c r="BE97" s="42">
        <v>0</v>
      </c>
      <c r="BF97" s="42">
        <f>95</f>
        <v>95</v>
      </c>
      <c r="BH97" s="24">
        <f t="shared" ref="BH97:BH113" si="43">H97*AO97</f>
        <v>0</v>
      </c>
      <c r="BI97" s="24">
        <f t="shared" ref="BI97:BI113" si="44">H97*AP97</f>
        <v>0</v>
      </c>
      <c r="BJ97" s="24">
        <f t="shared" ref="BJ97:BJ113" si="45">H97*I97</f>
        <v>0</v>
      </c>
      <c r="BK97" s="24" t="s">
        <v>669</v>
      </c>
      <c r="BL97" s="42">
        <v>725</v>
      </c>
    </row>
    <row r="98" spans="1:64" x14ac:dyDescent="0.25">
      <c r="A98" s="4" t="s">
        <v>45</v>
      </c>
      <c r="B98" s="14" t="s">
        <v>194</v>
      </c>
      <c r="C98" s="136" t="s">
        <v>401</v>
      </c>
      <c r="D98" s="137"/>
      <c r="E98" s="137"/>
      <c r="F98" s="137"/>
      <c r="G98" s="14" t="s">
        <v>600</v>
      </c>
      <c r="H98" s="78">
        <v>1</v>
      </c>
      <c r="I98" s="24">
        <v>0</v>
      </c>
      <c r="J98" s="24">
        <f t="shared" si="24"/>
        <v>0</v>
      </c>
      <c r="K98" s="24">
        <f t="shared" si="25"/>
        <v>0</v>
      </c>
      <c r="L98" s="24">
        <f t="shared" si="26"/>
        <v>0</v>
      </c>
      <c r="M98" s="35" t="s">
        <v>616</v>
      </c>
      <c r="N98" s="5"/>
      <c r="Z98" s="42">
        <f t="shared" si="27"/>
        <v>0</v>
      </c>
      <c r="AB98" s="42">
        <f t="shared" si="28"/>
        <v>0</v>
      </c>
      <c r="AC98" s="42">
        <f t="shared" si="29"/>
        <v>0</v>
      </c>
      <c r="AD98" s="42">
        <f t="shared" si="30"/>
        <v>0</v>
      </c>
      <c r="AE98" s="42">
        <f t="shared" si="31"/>
        <v>0</v>
      </c>
      <c r="AF98" s="42">
        <f t="shared" si="32"/>
        <v>0</v>
      </c>
      <c r="AG98" s="42">
        <f t="shared" si="33"/>
        <v>0</v>
      </c>
      <c r="AH98" s="42">
        <f t="shared" si="34"/>
        <v>0</v>
      </c>
      <c r="AI98" s="41"/>
      <c r="AJ98" s="24">
        <f t="shared" si="35"/>
        <v>0</v>
      </c>
      <c r="AK98" s="24">
        <f t="shared" si="36"/>
        <v>0</v>
      </c>
      <c r="AL98" s="24">
        <f t="shared" si="37"/>
        <v>0</v>
      </c>
      <c r="AN98" s="42">
        <v>15</v>
      </c>
      <c r="AO98" s="42">
        <f>I98*0.66159375</f>
        <v>0</v>
      </c>
      <c r="AP98" s="42">
        <f>I98*(1-0.66159375)</f>
        <v>0</v>
      </c>
      <c r="AQ98" s="43" t="s">
        <v>13</v>
      </c>
      <c r="AV98" s="42">
        <f t="shared" si="38"/>
        <v>0</v>
      </c>
      <c r="AW98" s="42">
        <f t="shared" si="39"/>
        <v>0</v>
      </c>
      <c r="AX98" s="42">
        <f t="shared" si="40"/>
        <v>0</v>
      </c>
      <c r="AY98" s="45" t="s">
        <v>635</v>
      </c>
      <c r="AZ98" s="45" t="s">
        <v>658</v>
      </c>
      <c r="BA98" s="41" t="s">
        <v>664</v>
      </c>
      <c r="BC98" s="42">
        <f t="shared" si="41"/>
        <v>0</v>
      </c>
      <c r="BD98" s="42">
        <f t="shared" si="42"/>
        <v>0</v>
      </c>
      <c r="BE98" s="42">
        <v>0</v>
      </c>
      <c r="BF98" s="42">
        <f>96</f>
        <v>96</v>
      </c>
      <c r="BH98" s="24">
        <f t="shared" si="43"/>
        <v>0</v>
      </c>
      <c r="BI98" s="24">
        <f t="shared" si="44"/>
        <v>0</v>
      </c>
      <c r="BJ98" s="24">
        <f t="shared" si="45"/>
        <v>0</v>
      </c>
      <c r="BK98" s="24" t="s">
        <v>669</v>
      </c>
      <c r="BL98" s="42">
        <v>725</v>
      </c>
    </row>
    <row r="99" spans="1:64" x14ac:dyDescent="0.25">
      <c r="A99" s="4" t="s">
        <v>46</v>
      </c>
      <c r="B99" s="14" t="s">
        <v>195</v>
      </c>
      <c r="C99" s="136" t="s">
        <v>402</v>
      </c>
      <c r="D99" s="137"/>
      <c r="E99" s="137"/>
      <c r="F99" s="137"/>
      <c r="G99" s="14" t="s">
        <v>598</v>
      </c>
      <c r="H99" s="78">
        <v>1</v>
      </c>
      <c r="I99" s="24">
        <v>0</v>
      </c>
      <c r="J99" s="24">
        <f t="shared" si="24"/>
        <v>0</v>
      </c>
      <c r="K99" s="24">
        <f t="shared" si="25"/>
        <v>0</v>
      </c>
      <c r="L99" s="24">
        <f t="shared" si="26"/>
        <v>0</v>
      </c>
      <c r="M99" s="35" t="s">
        <v>616</v>
      </c>
      <c r="N99" s="5"/>
      <c r="Z99" s="42">
        <f t="shared" si="27"/>
        <v>0</v>
      </c>
      <c r="AB99" s="42">
        <f t="shared" si="28"/>
        <v>0</v>
      </c>
      <c r="AC99" s="42">
        <f t="shared" si="29"/>
        <v>0</v>
      </c>
      <c r="AD99" s="42">
        <f t="shared" si="30"/>
        <v>0</v>
      </c>
      <c r="AE99" s="42">
        <f t="shared" si="31"/>
        <v>0</v>
      </c>
      <c r="AF99" s="42">
        <f t="shared" si="32"/>
        <v>0</v>
      </c>
      <c r="AG99" s="42">
        <f t="shared" si="33"/>
        <v>0</v>
      </c>
      <c r="AH99" s="42">
        <f t="shared" si="34"/>
        <v>0</v>
      </c>
      <c r="AI99" s="41"/>
      <c r="AJ99" s="24">
        <f t="shared" si="35"/>
        <v>0</v>
      </c>
      <c r="AK99" s="24">
        <f t="shared" si="36"/>
        <v>0</v>
      </c>
      <c r="AL99" s="24">
        <f t="shared" si="37"/>
        <v>0</v>
      </c>
      <c r="AN99" s="42">
        <v>15</v>
      </c>
      <c r="AO99" s="42">
        <f>I99*0.00845461720599842</f>
        <v>0</v>
      </c>
      <c r="AP99" s="42">
        <f>I99*(1-0.00845461720599842)</f>
        <v>0</v>
      </c>
      <c r="AQ99" s="43" t="s">
        <v>13</v>
      </c>
      <c r="AV99" s="42">
        <f t="shared" si="38"/>
        <v>0</v>
      </c>
      <c r="AW99" s="42">
        <f t="shared" si="39"/>
        <v>0</v>
      </c>
      <c r="AX99" s="42">
        <f t="shared" si="40"/>
        <v>0</v>
      </c>
      <c r="AY99" s="45" t="s">
        <v>635</v>
      </c>
      <c r="AZ99" s="45" t="s">
        <v>658</v>
      </c>
      <c r="BA99" s="41" t="s">
        <v>664</v>
      </c>
      <c r="BC99" s="42">
        <f t="shared" si="41"/>
        <v>0</v>
      </c>
      <c r="BD99" s="42">
        <f t="shared" si="42"/>
        <v>0</v>
      </c>
      <c r="BE99" s="42">
        <v>0</v>
      </c>
      <c r="BF99" s="42">
        <f>97</f>
        <v>97</v>
      </c>
      <c r="BH99" s="24">
        <f t="shared" si="43"/>
        <v>0</v>
      </c>
      <c r="BI99" s="24">
        <f t="shared" si="44"/>
        <v>0</v>
      </c>
      <c r="BJ99" s="24">
        <f t="shared" si="45"/>
        <v>0</v>
      </c>
      <c r="BK99" s="24" t="s">
        <v>669</v>
      </c>
      <c r="BL99" s="42">
        <v>725</v>
      </c>
    </row>
    <row r="100" spans="1:64" x14ac:dyDescent="0.25">
      <c r="A100" s="4" t="s">
        <v>47</v>
      </c>
      <c r="B100" s="14" t="s">
        <v>196</v>
      </c>
      <c r="C100" s="136" t="s">
        <v>403</v>
      </c>
      <c r="D100" s="137"/>
      <c r="E100" s="137"/>
      <c r="F100" s="137"/>
      <c r="G100" s="14" t="s">
        <v>600</v>
      </c>
      <c r="H100" s="78">
        <v>2</v>
      </c>
      <c r="I100" s="24">
        <v>0</v>
      </c>
      <c r="J100" s="24">
        <f t="shared" si="24"/>
        <v>0</v>
      </c>
      <c r="K100" s="24">
        <f t="shared" si="25"/>
        <v>0</v>
      </c>
      <c r="L100" s="24">
        <f t="shared" si="26"/>
        <v>0</v>
      </c>
      <c r="M100" s="35" t="s">
        <v>616</v>
      </c>
      <c r="N100" s="5"/>
      <c r="Z100" s="42">
        <f t="shared" si="27"/>
        <v>0</v>
      </c>
      <c r="AB100" s="42">
        <f t="shared" si="28"/>
        <v>0</v>
      </c>
      <c r="AC100" s="42">
        <f t="shared" si="29"/>
        <v>0</v>
      </c>
      <c r="AD100" s="42">
        <f t="shared" si="30"/>
        <v>0</v>
      </c>
      <c r="AE100" s="42">
        <f t="shared" si="31"/>
        <v>0</v>
      </c>
      <c r="AF100" s="42">
        <f t="shared" si="32"/>
        <v>0</v>
      </c>
      <c r="AG100" s="42">
        <f t="shared" si="33"/>
        <v>0</v>
      </c>
      <c r="AH100" s="42">
        <f t="shared" si="34"/>
        <v>0</v>
      </c>
      <c r="AI100" s="41"/>
      <c r="AJ100" s="24">
        <f t="shared" si="35"/>
        <v>0</v>
      </c>
      <c r="AK100" s="24">
        <f t="shared" si="36"/>
        <v>0</v>
      </c>
      <c r="AL100" s="24">
        <f t="shared" si="37"/>
        <v>0</v>
      </c>
      <c r="AN100" s="42">
        <v>15</v>
      </c>
      <c r="AO100" s="42">
        <f>I100*0.770551724137931</f>
        <v>0</v>
      </c>
      <c r="AP100" s="42">
        <f>I100*(1-0.770551724137931)</f>
        <v>0</v>
      </c>
      <c r="AQ100" s="43" t="s">
        <v>13</v>
      </c>
      <c r="AV100" s="42">
        <f t="shared" si="38"/>
        <v>0</v>
      </c>
      <c r="AW100" s="42">
        <f t="shared" si="39"/>
        <v>0</v>
      </c>
      <c r="AX100" s="42">
        <f t="shared" si="40"/>
        <v>0</v>
      </c>
      <c r="AY100" s="45" t="s">
        <v>635</v>
      </c>
      <c r="AZ100" s="45" t="s">
        <v>658</v>
      </c>
      <c r="BA100" s="41" t="s">
        <v>664</v>
      </c>
      <c r="BC100" s="42">
        <f t="shared" si="41"/>
        <v>0</v>
      </c>
      <c r="BD100" s="42">
        <f t="shared" si="42"/>
        <v>0</v>
      </c>
      <c r="BE100" s="42">
        <v>0</v>
      </c>
      <c r="BF100" s="42">
        <f>98</f>
        <v>98</v>
      </c>
      <c r="BH100" s="24">
        <f t="shared" si="43"/>
        <v>0</v>
      </c>
      <c r="BI100" s="24">
        <f t="shared" si="44"/>
        <v>0</v>
      </c>
      <c r="BJ100" s="24">
        <f t="shared" si="45"/>
        <v>0</v>
      </c>
      <c r="BK100" s="24" t="s">
        <v>669</v>
      </c>
      <c r="BL100" s="42">
        <v>725</v>
      </c>
    </row>
    <row r="101" spans="1:64" x14ac:dyDescent="0.25">
      <c r="A101" s="4" t="s">
        <v>48</v>
      </c>
      <c r="B101" s="14" t="s">
        <v>197</v>
      </c>
      <c r="C101" s="136" t="s">
        <v>404</v>
      </c>
      <c r="D101" s="137"/>
      <c r="E101" s="137"/>
      <c r="F101" s="137"/>
      <c r="G101" s="14" t="s">
        <v>600</v>
      </c>
      <c r="H101" s="78">
        <v>1</v>
      </c>
      <c r="I101" s="24">
        <v>0</v>
      </c>
      <c r="J101" s="24">
        <f t="shared" si="24"/>
        <v>0</v>
      </c>
      <c r="K101" s="24">
        <f t="shared" si="25"/>
        <v>0</v>
      </c>
      <c r="L101" s="24">
        <f t="shared" si="26"/>
        <v>0</v>
      </c>
      <c r="M101" s="35" t="s">
        <v>616</v>
      </c>
      <c r="N101" s="5"/>
      <c r="Z101" s="42">
        <f t="shared" si="27"/>
        <v>0</v>
      </c>
      <c r="AB101" s="42">
        <f t="shared" si="28"/>
        <v>0</v>
      </c>
      <c r="AC101" s="42">
        <f t="shared" si="29"/>
        <v>0</v>
      </c>
      <c r="AD101" s="42">
        <f t="shared" si="30"/>
        <v>0</v>
      </c>
      <c r="AE101" s="42">
        <f t="shared" si="31"/>
        <v>0</v>
      </c>
      <c r="AF101" s="42">
        <f t="shared" si="32"/>
        <v>0</v>
      </c>
      <c r="AG101" s="42">
        <f t="shared" si="33"/>
        <v>0</v>
      </c>
      <c r="AH101" s="42">
        <f t="shared" si="34"/>
        <v>0</v>
      </c>
      <c r="AI101" s="41"/>
      <c r="AJ101" s="24">
        <f t="shared" si="35"/>
        <v>0</v>
      </c>
      <c r="AK101" s="24">
        <f t="shared" si="36"/>
        <v>0</v>
      </c>
      <c r="AL101" s="24">
        <f t="shared" si="37"/>
        <v>0</v>
      </c>
      <c r="AN101" s="42">
        <v>15</v>
      </c>
      <c r="AO101" s="42">
        <f>I101*0.804961844607763</f>
        <v>0</v>
      </c>
      <c r="AP101" s="42">
        <f>I101*(1-0.804961844607763)</f>
        <v>0</v>
      </c>
      <c r="AQ101" s="43" t="s">
        <v>13</v>
      </c>
      <c r="AV101" s="42">
        <f t="shared" si="38"/>
        <v>0</v>
      </c>
      <c r="AW101" s="42">
        <f t="shared" si="39"/>
        <v>0</v>
      </c>
      <c r="AX101" s="42">
        <f t="shared" si="40"/>
        <v>0</v>
      </c>
      <c r="AY101" s="45" t="s">
        <v>635</v>
      </c>
      <c r="AZ101" s="45" t="s">
        <v>658</v>
      </c>
      <c r="BA101" s="41" t="s">
        <v>664</v>
      </c>
      <c r="BC101" s="42">
        <f t="shared" si="41"/>
        <v>0</v>
      </c>
      <c r="BD101" s="42">
        <f t="shared" si="42"/>
        <v>0</v>
      </c>
      <c r="BE101" s="42">
        <v>0</v>
      </c>
      <c r="BF101" s="42">
        <f>99</f>
        <v>99</v>
      </c>
      <c r="BH101" s="24">
        <f t="shared" si="43"/>
        <v>0</v>
      </c>
      <c r="BI101" s="24">
        <f t="shared" si="44"/>
        <v>0</v>
      </c>
      <c r="BJ101" s="24">
        <f t="shared" si="45"/>
        <v>0</v>
      </c>
      <c r="BK101" s="24" t="s">
        <v>669</v>
      </c>
      <c r="BL101" s="42">
        <v>725</v>
      </c>
    </row>
    <row r="102" spans="1:64" x14ac:dyDescent="0.25">
      <c r="A102" s="4" t="s">
        <v>49</v>
      </c>
      <c r="B102" s="14" t="s">
        <v>198</v>
      </c>
      <c r="C102" s="136" t="s">
        <v>405</v>
      </c>
      <c r="D102" s="137"/>
      <c r="E102" s="137"/>
      <c r="F102" s="137"/>
      <c r="G102" s="14" t="s">
        <v>600</v>
      </c>
      <c r="H102" s="78">
        <v>1</v>
      </c>
      <c r="I102" s="24">
        <v>0</v>
      </c>
      <c r="J102" s="24">
        <f t="shared" si="24"/>
        <v>0</v>
      </c>
      <c r="K102" s="24">
        <f t="shared" si="25"/>
        <v>0</v>
      </c>
      <c r="L102" s="24">
        <f t="shared" si="26"/>
        <v>0</v>
      </c>
      <c r="M102" s="35" t="s">
        <v>616</v>
      </c>
      <c r="N102" s="5"/>
      <c r="Z102" s="42">
        <f t="shared" si="27"/>
        <v>0</v>
      </c>
      <c r="AB102" s="42">
        <f t="shared" si="28"/>
        <v>0</v>
      </c>
      <c r="AC102" s="42">
        <f t="shared" si="29"/>
        <v>0</v>
      </c>
      <c r="AD102" s="42">
        <f t="shared" si="30"/>
        <v>0</v>
      </c>
      <c r="AE102" s="42">
        <f t="shared" si="31"/>
        <v>0</v>
      </c>
      <c r="AF102" s="42">
        <f t="shared" si="32"/>
        <v>0</v>
      </c>
      <c r="AG102" s="42">
        <f t="shared" si="33"/>
        <v>0</v>
      </c>
      <c r="AH102" s="42">
        <f t="shared" si="34"/>
        <v>0</v>
      </c>
      <c r="AI102" s="41"/>
      <c r="AJ102" s="24">
        <f t="shared" si="35"/>
        <v>0</v>
      </c>
      <c r="AK102" s="24">
        <f t="shared" si="36"/>
        <v>0</v>
      </c>
      <c r="AL102" s="24">
        <f t="shared" si="37"/>
        <v>0</v>
      </c>
      <c r="AN102" s="42">
        <v>15</v>
      </c>
      <c r="AO102" s="42">
        <f>I102*0.530052234937597</f>
        <v>0</v>
      </c>
      <c r="AP102" s="42">
        <f>I102*(1-0.530052234937597)</f>
        <v>0</v>
      </c>
      <c r="AQ102" s="43" t="s">
        <v>13</v>
      </c>
      <c r="AV102" s="42">
        <f t="shared" si="38"/>
        <v>0</v>
      </c>
      <c r="AW102" s="42">
        <f t="shared" si="39"/>
        <v>0</v>
      </c>
      <c r="AX102" s="42">
        <f t="shared" si="40"/>
        <v>0</v>
      </c>
      <c r="AY102" s="45" t="s">
        <v>635</v>
      </c>
      <c r="AZ102" s="45" t="s">
        <v>658</v>
      </c>
      <c r="BA102" s="41" t="s">
        <v>664</v>
      </c>
      <c r="BC102" s="42">
        <f t="shared" si="41"/>
        <v>0</v>
      </c>
      <c r="BD102" s="42">
        <f t="shared" si="42"/>
        <v>0</v>
      </c>
      <c r="BE102" s="42">
        <v>0</v>
      </c>
      <c r="BF102" s="42">
        <f>100</f>
        <v>100</v>
      </c>
      <c r="BH102" s="24">
        <f t="shared" si="43"/>
        <v>0</v>
      </c>
      <c r="BI102" s="24">
        <f t="shared" si="44"/>
        <v>0</v>
      </c>
      <c r="BJ102" s="24">
        <f t="shared" si="45"/>
        <v>0</v>
      </c>
      <c r="BK102" s="24" t="s">
        <v>669</v>
      </c>
      <c r="BL102" s="42">
        <v>725</v>
      </c>
    </row>
    <row r="103" spans="1:64" x14ac:dyDescent="0.25">
      <c r="A103" s="4" t="s">
        <v>50</v>
      </c>
      <c r="B103" s="14" t="s">
        <v>199</v>
      </c>
      <c r="C103" s="136" t="s">
        <v>406</v>
      </c>
      <c r="D103" s="137"/>
      <c r="E103" s="137"/>
      <c r="F103" s="137"/>
      <c r="G103" s="14" t="s">
        <v>598</v>
      </c>
      <c r="H103" s="78">
        <v>1</v>
      </c>
      <c r="I103" s="24">
        <v>0</v>
      </c>
      <c r="J103" s="24">
        <f t="shared" si="24"/>
        <v>0</v>
      </c>
      <c r="K103" s="24">
        <f t="shared" si="25"/>
        <v>0</v>
      </c>
      <c r="L103" s="24">
        <f t="shared" si="26"/>
        <v>0</v>
      </c>
      <c r="M103" s="35" t="s">
        <v>616</v>
      </c>
      <c r="N103" s="5"/>
      <c r="Z103" s="42">
        <f t="shared" si="27"/>
        <v>0</v>
      </c>
      <c r="AB103" s="42">
        <f t="shared" si="28"/>
        <v>0</v>
      </c>
      <c r="AC103" s="42">
        <f t="shared" si="29"/>
        <v>0</v>
      </c>
      <c r="AD103" s="42">
        <f t="shared" si="30"/>
        <v>0</v>
      </c>
      <c r="AE103" s="42">
        <f t="shared" si="31"/>
        <v>0</v>
      </c>
      <c r="AF103" s="42">
        <f t="shared" si="32"/>
        <v>0</v>
      </c>
      <c r="AG103" s="42">
        <f t="shared" si="33"/>
        <v>0</v>
      </c>
      <c r="AH103" s="42">
        <f t="shared" si="34"/>
        <v>0</v>
      </c>
      <c r="AI103" s="41"/>
      <c r="AJ103" s="24">
        <f t="shared" si="35"/>
        <v>0</v>
      </c>
      <c r="AK103" s="24">
        <f t="shared" si="36"/>
        <v>0</v>
      </c>
      <c r="AL103" s="24">
        <f t="shared" si="37"/>
        <v>0</v>
      </c>
      <c r="AN103" s="42">
        <v>15</v>
      </c>
      <c r="AO103" s="42">
        <f>I103*0.905344690238372</f>
        <v>0</v>
      </c>
      <c r="AP103" s="42">
        <f>I103*(1-0.905344690238372)</f>
        <v>0</v>
      </c>
      <c r="AQ103" s="43" t="s">
        <v>13</v>
      </c>
      <c r="AV103" s="42">
        <f t="shared" si="38"/>
        <v>0</v>
      </c>
      <c r="AW103" s="42">
        <f t="shared" si="39"/>
        <v>0</v>
      </c>
      <c r="AX103" s="42">
        <f t="shared" si="40"/>
        <v>0</v>
      </c>
      <c r="AY103" s="45" t="s">
        <v>635</v>
      </c>
      <c r="AZ103" s="45" t="s">
        <v>658</v>
      </c>
      <c r="BA103" s="41" t="s">
        <v>664</v>
      </c>
      <c r="BC103" s="42">
        <f t="shared" si="41"/>
        <v>0</v>
      </c>
      <c r="BD103" s="42">
        <f t="shared" si="42"/>
        <v>0</v>
      </c>
      <c r="BE103" s="42">
        <v>0</v>
      </c>
      <c r="BF103" s="42">
        <f>101</f>
        <v>101</v>
      </c>
      <c r="BH103" s="24">
        <f t="shared" si="43"/>
        <v>0</v>
      </c>
      <c r="BI103" s="24">
        <f t="shared" si="44"/>
        <v>0</v>
      </c>
      <c r="BJ103" s="24">
        <f t="shared" si="45"/>
        <v>0</v>
      </c>
      <c r="BK103" s="24" t="s">
        <v>669</v>
      </c>
      <c r="BL103" s="42">
        <v>725</v>
      </c>
    </row>
    <row r="104" spans="1:64" x14ac:dyDescent="0.25">
      <c r="A104" s="7" t="s">
        <v>51</v>
      </c>
      <c r="B104" s="16" t="s">
        <v>200</v>
      </c>
      <c r="C104" s="143" t="s">
        <v>407</v>
      </c>
      <c r="D104" s="144"/>
      <c r="E104" s="144"/>
      <c r="F104" s="144"/>
      <c r="G104" s="16" t="s">
        <v>598</v>
      </c>
      <c r="H104" s="80">
        <v>1</v>
      </c>
      <c r="I104" s="25">
        <v>0</v>
      </c>
      <c r="J104" s="25">
        <f t="shared" si="24"/>
        <v>0</v>
      </c>
      <c r="K104" s="25">
        <f t="shared" si="25"/>
        <v>0</v>
      </c>
      <c r="L104" s="25">
        <f t="shared" si="26"/>
        <v>0</v>
      </c>
      <c r="M104" s="38" t="s">
        <v>616</v>
      </c>
      <c r="N104" s="5"/>
      <c r="Z104" s="42">
        <f t="shared" si="27"/>
        <v>0</v>
      </c>
      <c r="AB104" s="42">
        <f t="shared" si="28"/>
        <v>0</v>
      </c>
      <c r="AC104" s="42">
        <f t="shared" si="29"/>
        <v>0</v>
      </c>
      <c r="AD104" s="42">
        <f t="shared" si="30"/>
        <v>0</v>
      </c>
      <c r="AE104" s="42">
        <f t="shared" si="31"/>
        <v>0</v>
      </c>
      <c r="AF104" s="42">
        <f t="shared" si="32"/>
        <v>0</v>
      </c>
      <c r="AG104" s="42">
        <f t="shared" si="33"/>
        <v>0</v>
      </c>
      <c r="AH104" s="42">
        <f t="shared" si="34"/>
        <v>0</v>
      </c>
      <c r="AI104" s="41"/>
      <c r="AJ104" s="25">
        <f t="shared" si="35"/>
        <v>0</v>
      </c>
      <c r="AK104" s="25">
        <f t="shared" si="36"/>
        <v>0</v>
      </c>
      <c r="AL104" s="25">
        <f t="shared" si="37"/>
        <v>0</v>
      </c>
      <c r="AN104" s="42">
        <v>15</v>
      </c>
      <c r="AO104" s="42">
        <f>I104*1</f>
        <v>0</v>
      </c>
      <c r="AP104" s="42">
        <f>I104*(1-1)</f>
        <v>0</v>
      </c>
      <c r="AQ104" s="44" t="s">
        <v>13</v>
      </c>
      <c r="AV104" s="42">
        <f t="shared" si="38"/>
        <v>0</v>
      </c>
      <c r="AW104" s="42">
        <f t="shared" si="39"/>
        <v>0</v>
      </c>
      <c r="AX104" s="42">
        <f t="shared" si="40"/>
        <v>0</v>
      </c>
      <c r="AY104" s="45" t="s">
        <v>635</v>
      </c>
      <c r="AZ104" s="45" t="s">
        <v>658</v>
      </c>
      <c r="BA104" s="41" t="s">
        <v>664</v>
      </c>
      <c r="BC104" s="42">
        <f t="shared" si="41"/>
        <v>0</v>
      </c>
      <c r="BD104" s="42">
        <f t="shared" si="42"/>
        <v>0</v>
      </c>
      <c r="BE104" s="42">
        <v>0</v>
      </c>
      <c r="BF104" s="42">
        <f>102</f>
        <v>102</v>
      </c>
      <c r="BH104" s="25">
        <f t="shared" si="43"/>
        <v>0</v>
      </c>
      <c r="BI104" s="25">
        <f t="shared" si="44"/>
        <v>0</v>
      </c>
      <c r="BJ104" s="25">
        <f t="shared" si="45"/>
        <v>0</v>
      </c>
      <c r="BK104" s="25" t="s">
        <v>670</v>
      </c>
      <c r="BL104" s="42">
        <v>725</v>
      </c>
    </row>
    <row r="105" spans="1:64" x14ac:dyDescent="0.25">
      <c r="A105" s="4" t="s">
        <v>52</v>
      </c>
      <c r="B105" s="14" t="s">
        <v>201</v>
      </c>
      <c r="C105" s="136" t="s">
        <v>408</v>
      </c>
      <c r="D105" s="137"/>
      <c r="E105" s="137"/>
      <c r="F105" s="137"/>
      <c r="G105" s="14" t="s">
        <v>598</v>
      </c>
      <c r="H105" s="78">
        <v>1</v>
      </c>
      <c r="I105" s="24">
        <v>0</v>
      </c>
      <c r="J105" s="24">
        <f t="shared" si="24"/>
        <v>0</v>
      </c>
      <c r="K105" s="24">
        <f t="shared" si="25"/>
        <v>0</v>
      </c>
      <c r="L105" s="24">
        <f t="shared" si="26"/>
        <v>0</v>
      </c>
      <c r="M105" s="35" t="s">
        <v>616</v>
      </c>
      <c r="N105" s="5"/>
      <c r="Z105" s="42">
        <f t="shared" si="27"/>
        <v>0</v>
      </c>
      <c r="AB105" s="42">
        <f t="shared" si="28"/>
        <v>0</v>
      </c>
      <c r="AC105" s="42">
        <f t="shared" si="29"/>
        <v>0</v>
      </c>
      <c r="AD105" s="42">
        <f t="shared" si="30"/>
        <v>0</v>
      </c>
      <c r="AE105" s="42">
        <f t="shared" si="31"/>
        <v>0</v>
      </c>
      <c r="AF105" s="42">
        <f t="shared" si="32"/>
        <v>0</v>
      </c>
      <c r="AG105" s="42">
        <f t="shared" si="33"/>
        <v>0</v>
      </c>
      <c r="AH105" s="42">
        <f t="shared" si="34"/>
        <v>0</v>
      </c>
      <c r="AI105" s="41"/>
      <c r="AJ105" s="24">
        <f t="shared" si="35"/>
        <v>0</v>
      </c>
      <c r="AK105" s="24">
        <f t="shared" si="36"/>
        <v>0</v>
      </c>
      <c r="AL105" s="24">
        <f t="shared" si="37"/>
        <v>0</v>
      </c>
      <c r="AN105" s="42">
        <v>15</v>
      </c>
      <c r="AO105" s="42">
        <f>I105*0.856353550539874</f>
        <v>0</v>
      </c>
      <c r="AP105" s="42">
        <f>I105*(1-0.856353550539874)</f>
        <v>0</v>
      </c>
      <c r="AQ105" s="43" t="s">
        <v>13</v>
      </c>
      <c r="AV105" s="42">
        <f t="shared" si="38"/>
        <v>0</v>
      </c>
      <c r="AW105" s="42">
        <f t="shared" si="39"/>
        <v>0</v>
      </c>
      <c r="AX105" s="42">
        <f t="shared" si="40"/>
        <v>0</v>
      </c>
      <c r="AY105" s="45" t="s">
        <v>635</v>
      </c>
      <c r="AZ105" s="45" t="s">
        <v>658</v>
      </c>
      <c r="BA105" s="41" t="s">
        <v>664</v>
      </c>
      <c r="BC105" s="42">
        <f t="shared" si="41"/>
        <v>0</v>
      </c>
      <c r="BD105" s="42">
        <f t="shared" si="42"/>
        <v>0</v>
      </c>
      <c r="BE105" s="42">
        <v>0</v>
      </c>
      <c r="BF105" s="42">
        <f>103</f>
        <v>103</v>
      </c>
      <c r="BH105" s="24">
        <f t="shared" si="43"/>
        <v>0</v>
      </c>
      <c r="BI105" s="24">
        <f t="shared" si="44"/>
        <v>0</v>
      </c>
      <c r="BJ105" s="24">
        <f t="shared" si="45"/>
        <v>0</v>
      </c>
      <c r="BK105" s="24" t="s">
        <v>669</v>
      </c>
      <c r="BL105" s="42">
        <v>725</v>
      </c>
    </row>
    <row r="106" spans="1:64" x14ac:dyDescent="0.25">
      <c r="A106" s="4" t="s">
        <v>53</v>
      </c>
      <c r="B106" s="14" t="s">
        <v>202</v>
      </c>
      <c r="C106" s="136" t="s">
        <v>409</v>
      </c>
      <c r="D106" s="137"/>
      <c r="E106" s="137"/>
      <c r="F106" s="137"/>
      <c r="G106" s="14" t="s">
        <v>600</v>
      </c>
      <c r="H106" s="78">
        <v>1</v>
      </c>
      <c r="I106" s="24">
        <v>0</v>
      </c>
      <c r="J106" s="24">
        <f t="shared" si="24"/>
        <v>0</v>
      </c>
      <c r="K106" s="24">
        <f t="shared" si="25"/>
        <v>0</v>
      </c>
      <c r="L106" s="24">
        <f t="shared" si="26"/>
        <v>0</v>
      </c>
      <c r="M106" s="35" t="s">
        <v>616</v>
      </c>
      <c r="N106" s="5"/>
      <c r="Z106" s="42">
        <f t="shared" si="27"/>
        <v>0</v>
      </c>
      <c r="AB106" s="42">
        <f t="shared" si="28"/>
        <v>0</v>
      </c>
      <c r="AC106" s="42">
        <f t="shared" si="29"/>
        <v>0</v>
      </c>
      <c r="AD106" s="42">
        <f t="shared" si="30"/>
        <v>0</v>
      </c>
      <c r="AE106" s="42">
        <f t="shared" si="31"/>
        <v>0</v>
      </c>
      <c r="AF106" s="42">
        <f t="shared" si="32"/>
        <v>0</v>
      </c>
      <c r="AG106" s="42">
        <f t="shared" si="33"/>
        <v>0</v>
      </c>
      <c r="AH106" s="42">
        <f t="shared" si="34"/>
        <v>0</v>
      </c>
      <c r="AI106" s="41"/>
      <c r="AJ106" s="24">
        <f t="shared" si="35"/>
        <v>0</v>
      </c>
      <c r="AK106" s="24">
        <f t="shared" si="36"/>
        <v>0</v>
      </c>
      <c r="AL106" s="24">
        <f t="shared" si="37"/>
        <v>0</v>
      </c>
      <c r="AN106" s="42">
        <v>15</v>
      </c>
      <c r="AO106" s="42">
        <f>I106*0.942100273473109</f>
        <v>0</v>
      </c>
      <c r="AP106" s="42">
        <f>I106*(1-0.942100273473109)</f>
        <v>0</v>
      </c>
      <c r="AQ106" s="43" t="s">
        <v>13</v>
      </c>
      <c r="AV106" s="42">
        <f t="shared" si="38"/>
        <v>0</v>
      </c>
      <c r="AW106" s="42">
        <f t="shared" si="39"/>
        <v>0</v>
      </c>
      <c r="AX106" s="42">
        <f t="shared" si="40"/>
        <v>0</v>
      </c>
      <c r="AY106" s="45" t="s">
        <v>635</v>
      </c>
      <c r="AZ106" s="45" t="s">
        <v>658</v>
      </c>
      <c r="BA106" s="41" t="s">
        <v>664</v>
      </c>
      <c r="BC106" s="42">
        <f t="shared" si="41"/>
        <v>0</v>
      </c>
      <c r="BD106" s="42">
        <f t="shared" si="42"/>
        <v>0</v>
      </c>
      <c r="BE106" s="42">
        <v>0</v>
      </c>
      <c r="BF106" s="42">
        <f>104</f>
        <v>104</v>
      </c>
      <c r="BH106" s="24">
        <f t="shared" si="43"/>
        <v>0</v>
      </c>
      <c r="BI106" s="24">
        <f t="shared" si="44"/>
        <v>0</v>
      </c>
      <c r="BJ106" s="24">
        <f t="shared" si="45"/>
        <v>0</v>
      </c>
      <c r="BK106" s="24" t="s">
        <v>669</v>
      </c>
      <c r="BL106" s="42">
        <v>725</v>
      </c>
    </row>
    <row r="107" spans="1:64" x14ac:dyDescent="0.25">
      <c r="A107" s="7" t="s">
        <v>54</v>
      </c>
      <c r="B107" s="16" t="s">
        <v>203</v>
      </c>
      <c r="C107" s="143" t="s">
        <v>410</v>
      </c>
      <c r="D107" s="144"/>
      <c r="E107" s="144"/>
      <c r="F107" s="144"/>
      <c r="G107" s="16" t="s">
        <v>598</v>
      </c>
      <c r="H107" s="80">
        <v>1</v>
      </c>
      <c r="I107" s="25">
        <v>0</v>
      </c>
      <c r="J107" s="25">
        <f t="shared" si="24"/>
        <v>0</v>
      </c>
      <c r="K107" s="25">
        <f t="shared" si="25"/>
        <v>0</v>
      </c>
      <c r="L107" s="25">
        <f t="shared" si="26"/>
        <v>0</v>
      </c>
      <c r="M107" s="38" t="s">
        <v>616</v>
      </c>
      <c r="N107" s="5"/>
      <c r="Z107" s="42">
        <f t="shared" si="27"/>
        <v>0</v>
      </c>
      <c r="AB107" s="42">
        <f t="shared" si="28"/>
        <v>0</v>
      </c>
      <c r="AC107" s="42">
        <f t="shared" si="29"/>
        <v>0</v>
      </c>
      <c r="AD107" s="42">
        <f t="shared" si="30"/>
        <v>0</v>
      </c>
      <c r="AE107" s="42">
        <f t="shared" si="31"/>
        <v>0</v>
      </c>
      <c r="AF107" s="42">
        <f t="shared" si="32"/>
        <v>0</v>
      </c>
      <c r="AG107" s="42">
        <f t="shared" si="33"/>
        <v>0</v>
      </c>
      <c r="AH107" s="42">
        <f t="shared" si="34"/>
        <v>0</v>
      </c>
      <c r="AI107" s="41"/>
      <c r="AJ107" s="25">
        <f t="shared" si="35"/>
        <v>0</v>
      </c>
      <c r="AK107" s="25">
        <f t="shared" si="36"/>
        <v>0</v>
      </c>
      <c r="AL107" s="25">
        <f t="shared" si="37"/>
        <v>0</v>
      </c>
      <c r="AN107" s="42">
        <v>15</v>
      </c>
      <c r="AO107" s="42">
        <f>I107*1</f>
        <v>0</v>
      </c>
      <c r="AP107" s="42">
        <f>I107*(1-1)</f>
        <v>0</v>
      </c>
      <c r="AQ107" s="44" t="s">
        <v>13</v>
      </c>
      <c r="AV107" s="42">
        <f t="shared" si="38"/>
        <v>0</v>
      </c>
      <c r="AW107" s="42">
        <f t="shared" si="39"/>
        <v>0</v>
      </c>
      <c r="AX107" s="42">
        <f t="shared" si="40"/>
        <v>0</v>
      </c>
      <c r="AY107" s="45" t="s">
        <v>635</v>
      </c>
      <c r="AZ107" s="45" t="s">
        <v>658</v>
      </c>
      <c r="BA107" s="41" t="s">
        <v>664</v>
      </c>
      <c r="BC107" s="42">
        <f t="shared" si="41"/>
        <v>0</v>
      </c>
      <c r="BD107" s="42">
        <f t="shared" si="42"/>
        <v>0</v>
      </c>
      <c r="BE107" s="42">
        <v>0</v>
      </c>
      <c r="BF107" s="42">
        <f>105</f>
        <v>105</v>
      </c>
      <c r="BH107" s="25">
        <f t="shared" si="43"/>
        <v>0</v>
      </c>
      <c r="BI107" s="25">
        <f t="shared" si="44"/>
        <v>0</v>
      </c>
      <c r="BJ107" s="25">
        <f t="shared" si="45"/>
        <v>0</v>
      </c>
      <c r="BK107" s="25" t="s">
        <v>670</v>
      </c>
      <c r="BL107" s="42">
        <v>725</v>
      </c>
    </row>
    <row r="108" spans="1:64" x14ac:dyDescent="0.25">
      <c r="A108" s="4" t="s">
        <v>55</v>
      </c>
      <c r="B108" s="14" t="s">
        <v>204</v>
      </c>
      <c r="C108" s="136" t="s">
        <v>411</v>
      </c>
      <c r="D108" s="137"/>
      <c r="E108" s="137"/>
      <c r="F108" s="137"/>
      <c r="G108" s="14" t="s">
        <v>600</v>
      </c>
      <c r="H108" s="78">
        <v>3</v>
      </c>
      <c r="I108" s="24">
        <v>0</v>
      </c>
      <c r="J108" s="24">
        <f t="shared" si="24"/>
        <v>0</v>
      </c>
      <c r="K108" s="24">
        <f t="shared" si="25"/>
        <v>0</v>
      </c>
      <c r="L108" s="24">
        <f t="shared" si="26"/>
        <v>0</v>
      </c>
      <c r="M108" s="35" t="s">
        <v>616</v>
      </c>
      <c r="N108" s="5"/>
      <c r="Z108" s="42">
        <f t="shared" si="27"/>
        <v>0</v>
      </c>
      <c r="AB108" s="42">
        <f t="shared" si="28"/>
        <v>0</v>
      </c>
      <c r="AC108" s="42">
        <f t="shared" si="29"/>
        <v>0</v>
      </c>
      <c r="AD108" s="42">
        <f t="shared" si="30"/>
        <v>0</v>
      </c>
      <c r="AE108" s="42">
        <f t="shared" si="31"/>
        <v>0</v>
      </c>
      <c r="AF108" s="42">
        <f t="shared" si="32"/>
        <v>0</v>
      </c>
      <c r="AG108" s="42">
        <f t="shared" si="33"/>
        <v>0</v>
      </c>
      <c r="AH108" s="42">
        <f t="shared" si="34"/>
        <v>0</v>
      </c>
      <c r="AI108" s="41"/>
      <c r="AJ108" s="24">
        <f t="shared" si="35"/>
        <v>0</v>
      </c>
      <c r="AK108" s="24">
        <f t="shared" si="36"/>
        <v>0</v>
      </c>
      <c r="AL108" s="24">
        <f t="shared" si="37"/>
        <v>0</v>
      </c>
      <c r="AN108" s="42">
        <v>15</v>
      </c>
      <c r="AO108" s="42">
        <f>I108*0.125526315789474</f>
        <v>0</v>
      </c>
      <c r="AP108" s="42">
        <f>I108*(1-0.125526315789474)</f>
        <v>0</v>
      </c>
      <c r="AQ108" s="43" t="s">
        <v>13</v>
      </c>
      <c r="AV108" s="42">
        <f t="shared" si="38"/>
        <v>0</v>
      </c>
      <c r="AW108" s="42">
        <f t="shared" si="39"/>
        <v>0</v>
      </c>
      <c r="AX108" s="42">
        <f t="shared" si="40"/>
        <v>0</v>
      </c>
      <c r="AY108" s="45" t="s">
        <v>635</v>
      </c>
      <c r="AZ108" s="45" t="s">
        <v>658</v>
      </c>
      <c r="BA108" s="41" t="s">
        <v>664</v>
      </c>
      <c r="BC108" s="42">
        <f t="shared" si="41"/>
        <v>0</v>
      </c>
      <c r="BD108" s="42">
        <f t="shared" si="42"/>
        <v>0</v>
      </c>
      <c r="BE108" s="42">
        <v>0</v>
      </c>
      <c r="BF108" s="42">
        <f>106</f>
        <v>106</v>
      </c>
      <c r="BH108" s="24">
        <f t="shared" si="43"/>
        <v>0</v>
      </c>
      <c r="BI108" s="24">
        <f t="shared" si="44"/>
        <v>0</v>
      </c>
      <c r="BJ108" s="24">
        <f t="shared" si="45"/>
        <v>0</v>
      </c>
      <c r="BK108" s="24" t="s">
        <v>669</v>
      </c>
      <c r="BL108" s="42">
        <v>725</v>
      </c>
    </row>
    <row r="109" spans="1:64" x14ac:dyDescent="0.25">
      <c r="A109" s="7" t="s">
        <v>56</v>
      </c>
      <c r="B109" s="16" t="s">
        <v>205</v>
      </c>
      <c r="C109" s="143" t="s">
        <v>412</v>
      </c>
      <c r="D109" s="144"/>
      <c r="E109" s="144"/>
      <c r="F109" s="144"/>
      <c r="G109" s="16" t="s">
        <v>598</v>
      </c>
      <c r="H109" s="80">
        <v>2</v>
      </c>
      <c r="I109" s="25">
        <v>0</v>
      </c>
      <c r="J109" s="25">
        <f t="shared" si="24"/>
        <v>0</v>
      </c>
      <c r="K109" s="25">
        <f t="shared" si="25"/>
        <v>0</v>
      </c>
      <c r="L109" s="25">
        <f t="shared" si="26"/>
        <v>0</v>
      </c>
      <c r="M109" s="38"/>
      <c r="N109" s="5"/>
      <c r="Z109" s="42">
        <f t="shared" si="27"/>
        <v>0</v>
      </c>
      <c r="AB109" s="42">
        <f t="shared" si="28"/>
        <v>0</v>
      </c>
      <c r="AC109" s="42">
        <f t="shared" si="29"/>
        <v>0</v>
      </c>
      <c r="AD109" s="42">
        <f t="shared" si="30"/>
        <v>0</v>
      </c>
      <c r="AE109" s="42">
        <f t="shared" si="31"/>
        <v>0</v>
      </c>
      <c r="AF109" s="42">
        <f t="shared" si="32"/>
        <v>0</v>
      </c>
      <c r="AG109" s="42">
        <f t="shared" si="33"/>
        <v>0</v>
      </c>
      <c r="AH109" s="42">
        <f t="shared" si="34"/>
        <v>0</v>
      </c>
      <c r="AI109" s="41"/>
      <c r="AJ109" s="25">
        <f t="shared" si="35"/>
        <v>0</v>
      </c>
      <c r="AK109" s="25">
        <f t="shared" si="36"/>
        <v>0</v>
      </c>
      <c r="AL109" s="25">
        <f t="shared" si="37"/>
        <v>0</v>
      </c>
      <c r="AN109" s="42">
        <v>15</v>
      </c>
      <c r="AO109" s="42">
        <f>I109*1</f>
        <v>0</v>
      </c>
      <c r="AP109" s="42">
        <f>I109*(1-1)</f>
        <v>0</v>
      </c>
      <c r="AQ109" s="44" t="s">
        <v>13</v>
      </c>
      <c r="AV109" s="42">
        <f t="shared" si="38"/>
        <v>0</v>
      </c>
      <c r="AW109" s="42">
        <f t="shared" si="39"/>
        <v>0</v>
      </c>
      <c r="AX109" s="42">
        <f t="shared" si="40"/>
        <v>0</v>
      </c>
      <c r="AY109" s="45" t="s">
        <v>635</v>
      </c>
      <c r="AZ109" s="45" t="s">
        <v>658</v>
      </c>
      <c r="BA109" s="41" t="s">
        <v>664</v>
      </c>
      <c r="BC109" s="42">
        <f t="shared" si="41"/>
        <v>0</v>
      </c>
      <c r="BD109" s="42">
        <f t="shared" si="42"/>
        <v>0</v>
      </c>
      <c r="BE109" s="42">
        <v>0</v>
      </c>
      <c r="BF109" s="42">
        <f>107</f>
        <v>107</v>
      </c>
      <c r="BH109" s="25">
        <f t="shared" si="43"/>
        <v>0</v>
      </c>
      <c r="BI109" s="25">
        <f t="shared" si="44"/>
        <v>0</v>
      </c>
      <c r="BJ109" s="25">
        <f t="shared" si="45"/>
        <v>0</v>
      </c>
      <c r="BK109" s="25" t="s">
        <v>670</v>
      </c>
      <c r="BL109" s="42">
        <v>725</v>
      </c>
    </row>
    <row r="110" spans="1:64" x14ac:dyDescent="0.25">
      <c r="A110" s="7" t="s">
        <v>57</v>
      </c>
      <c r="B110" s="16" t="s">
        <v>206</v>
      </c>
      <c r="C110" s="143" t="s">
        <v>413</v>
      </c>
      <c r="D110" s="144"/>
      <c r="E110" s="144"/>
      <c r="F110" s="144"/>
      <c r="G110" s="16" t="s">
        <v>598</v>
      </c>
      <c r="H110" s="80">
        <v>1</v>
      </c>
      <c r="I110" s="25">
        <v>0</v>
      </c>
      <c r="J110" s="25">
        <f t="shared" si="24"/>
        <v>0</v>
      </c>
      <c r="K110" s="25">
        <f t="shared" si="25"/>
        <v>0</v>
      </c>
      <c r="L110" s="25">
        <f t="shared" si="26"/>
        <v>0</v>
      </c>
      <c r="M110" s="38"/>
      <c r="N110" s="5"/>
      <c r="Z110" s="42">
        <f t="shared" si="27"/>
        <v>0</v>
      </c>
      <c r="AB110" s="42">
        <f t="shared" si="28"/>
        <v>0</v>
      </c>
      <c r="AC110" s="42">
        <f t="shared" si="29"/>
        <v>0</v>
      </c>
      <c r="AD110" s="42">
        <f t="shared" si="30"/>
        <v>0</v>
      </c>
      <c r="AE110" s="42">
        <f t="shared" si="31"/>
        <v>0</v>
      </c>
      <c r="AF110" s="42">
        <f t="shared" si="32"/>
        <v>0</v>
      </c>
      <c r="AG110" s="42">
        <f t="shared" si="33"/>
        <v>0</v>
      </c>
      <c r="AH110" s="42">
        <f t="shared" si="34"/>
        <v>0</v>
      </c>
      <c r="AI110" s="41"/>
      <c r="AJ110" s="25">
        <f t="shared" si="35"/>
        <v>0</v>
      </c>
      <c r="AK110" s="25">
        <f t="shared" si="36"/>
        <v>0</v>
      </c>
      <c r="AL110" s="25">
        <f t="shared" si="37"/>
        <v>0</v>
      </c>
      <c r="AN110" s="42">
        <v>15</v>
      </c>
      <c r="AO110" s="42">
        <f>I110*1</f>
        <v>0</v>
      </c>
      <c r="AP110" s="42">
        <f>I110*(1-1)</f>
        <v>0</v>
      </c>
      <c r="AQ110" s="44" t="s">
        <v>13</v>
      </c>
      <c r="AV110" s="42">
        <f t="shared" si="38"/>
        <v>0</v>
      </c>
      <c r="AW110" s="42">
        <f t="shared" si="39"/>
        <v>0</v>
      </c>
      <c r="AX110" s="42">
        <f t="shared" si="40"/>
        <v>0</v>
      </c>
      <c r="AY110" s="45" t="s">
        <v>635</v>
      </c>
      <c r="AZ110" s="45" t="s">
        <v>658</v>
      </c>
      <c r="BA110" s="41" t="s">
        <v>664</v>
      </c>
      <c r="BC110" s="42">
        <f t="shared" si="41"/>
        <v>0</v>
      </c>
      <c r="BD110" s="42">
        <f t="shared" si="42"/>
        <v>0</v>
      </c>
      <c r="BE110" s="42">
        <v>0</v>
      </c>
      <c r="BF110" s="42">
        <f>108</f>
        <v>108</v>
      </c>
      <c r="BH110" s="25">
        <f t="shared" si="43"/>
        <v>0</v>
      </c>
      <c r="BI110" s="25">
        <f t="shared" si="44"/>
        <v>0</v>
      </c>
      <c r="BJ110" s="25">
        <f t="shared" si="45"/>
        <v>0</v>
      </c>
      <c r="BK110" s="25" t="s">
        <v>670</v>
      </c>
      <c r="BL110" s="42">
        <v>725</v>
      </c>
    </row>
    <row r="111" spans="1:64" x14ac:dyDescent="0.25">
      <c r="A111" s="4" t="s">
        <v>58</v>
      </c>
      <c r="B111" s="14" t="s">
        <v>207</v>
      </c>
      <c r="C111" s="136" t="s">
        <v>414</v>
      </c>
      <c r="D111" s="137"/>
      <c r="E111" s="137"/>
      <c r="F111" s="137"/>
      <c r="G111" s="14" t="s">
        <v>600</v>
      </c>
      <c r="H111" s="78">
        <v>1</v>
      </c>
      <c r="I111" s="24">
        <v>0</v>
      </c>
      <c r="J111" s="24">
        <f t="shared" si="24"/>
        <v>0</v>
      </c>
      <c r="K111" s="24">
        <f t="shared" si="25"/>
        <v>0</v>
      </c>
      <c r="L111" s="24">
        <f t="shared" si="26"/>
        <v>0</v>
      </c>
      <c r="M111" s="35" t="s">
        <v>616</v>
      </c>
      <c r="N111" s="5"/>
      <c r="Z111" s="42">
        <f t="shared" si="27"/>
        <v>0</v>
      </c>
      <c r="AB111" s="42">
        <f t="shared" si="28"/>
        <v>0</v>
      </c>
      <c r="AC111" s="42">
        <f t="shared" si="29"/>
        <v>0</v>
      </c>
      <c r="AD111" s="42">
        <f t="shared" si="30"/>
        <v>0</v>
      </c>
      <c r="AE111" s="42">
        <f t="shared" si="31"/>
        <v>0</v>
      </c>
      <c r="AF111" s="42">
        <f t="shared" si="32"/>
        <v>0</v>
      </c>
      <c r="AG111" s="42">
        <f t="shared" si="33"/>
        <v>0</v>
      </c>
      <c r="AH111" s="42">
        <f t="shared" si="34"/>
        <v>0</v>
      </c>
      <c r="AI111" s="41"/>
      <c r="AJ111" s="24">
        <f t="shared" si="35"/>
        <v>0</v>
      </c>
      <c r="AK111" s="24">
        <f t="shared" si="36"/>
        <v>0</v>
      </c>
      <c r="AL111" s="24">
        <f t="shared" si="37"/>
        <v>0</v>
      </c>
      <c r="AN111" s="42">
        <v>15</v>
      </c>
      <c r="AO111" s="42">
        <f>I111*0.930848125805508</f>
        <v>0</v>
      </c>
      <c r="AP111" s="42">
        <f>I111*(1-0.930848125805508)</f>
        <v>0</v>
      </c>
      <c r="AQ111" s="43" t="s">
        <v>13</v>
      </c>
      <c r="AV111" s="42">
        <f t="shared" si="38"/>
        <v>0</v>
      </c>
      <c r="AW111" s="42">
        <f t="shared" si="39"/>
        <v>0</v>
      </c>
      <c r="AX111" s="42">
        <f t="shared" si="40"/>
        <v>0</v>
      </c>
      <c r="AY111" s="45" t="s">
        <v>635</v>
      </c>
      <c r="AZ111" s="45" t="s">
        <v>658</v>
      </c>
      <c r="BA111" s="41" t="s">
        <v>664</v>
      </c>
      <c r="BC111" s="42">
        <f t="shared" si="41"/>
        <v>0</v>
      </c>
      <c r="BD111" s="42">
        <f t="shared" si="42"/>
        <v>0</v>
      </c>
      <c r="BE111" s="42">
        <v>0</v>
      </c>
      <c r="BF111" s="42">
        <f>109</f>
        <v>109</v>
      </c>
      <c r="BH111" s="24">
        <f t="shared" si="43"/>
        <v>0</v>
      </c>
      <c r="BI111" s="24">
        <f t="shared" si="44"/>
        <v>0</v>
      </c>
      <c r="BJ111" s="24">
        <f t="shared" si="45"/>
        <v>0</v>
      </c>
      <c r="BK111" s="24" t="s">
        <v>669</v>
      </c>
      <c r="BL111" s="42">
        <v>725</v>
      </c>
    </row>
    <row r="112" spans="1:64" x14ac:dyDescent="0.25">
      <c r="A112" s="4" t="s">
        <v>59</v>
      </c>
      <c r="B112" s="14" t="s">
        <v>208</v>
      </c>
      <c r="C112" s="136" t="s">
        <v>415</v>
      </c>
      <c r="D112" s="137"/>
      <c r="E112" s="137"/>
      <c r="F112" s="137"/>
      <c r="G112" s="14" t="s">
        <v>600</v>
      </c>
      <c r="H112" s="78">
        <v>1</v>
      </c>
      <c r="I112" s="24">
        <v>0</v>
      </c>
      <c r="J112" s="24">
        <f t="shared" si="24"/>
        <v>0</v>
      </c>
      <c r="K112" s="24">
        <f t="shared" si="25"/>
        <v>0</v>
      </c>
      <c r="L112" s="24">
        <f t="shared" si="26"/>
        <v>0</v>
      </c>
      <c r="M112" s="35" t="s">
        <v>616</v>
      </c>
      <c r="N112" s="5"/>
      <c r="Z112" s="42">
        <f t="shared" si="27"/>
        <v>0</v>
      </c>
      <c r="AB112" s="42">
        <f t="shared" si="28"/>
        <v>0</v>
      </c>
      <c r="AC112" s="42">
        <f t="shared" si="29"/>
        <v>0</v>
      </c>
      <c r="AD112" s="42">
        <f t="shared" si="30"/>
        <v>0</v>
      </c>
      <c r="AE112" s="42">
        <f t="shared" si="31"/>
        <v>0</v>
      </c>
      <c r="AF112" s="42">
        <f t="shared" si="32"/>
        <v>0</v>
      </c>
      <c r="AG112" s="42">
        <f t="shared" si="33"/>
        <v>0</v>
      </c>
      <c r="AH112" s="42">
        <f t="shared" si="34"/>
        <v>0</v>
      </c>
      <c r="AI112" s="41"/>
      <c r="AJ112" s="24">
        <f t="shared" si="35"/>
        <v>0</v>
      </c>
      <c r="AK112" s="24">
        <f t="shared" si="36"/>
        <v>0</v>
      </c>
      <c r="AL112" s="24">
        <f t="shared" si="37"/>
        <v>0</v>
      </c>
      <c r="AN112" s="42">
        <v>15</v>
      </c>
      <c r="AO112" s="42">
        <f>I112*0.918140675814854</f>
        <v>0</v>
      </c>
      <c r="AP112" s="42">
        <f>I112*(1-0.918140675814854)</f>
        <v>0</v>
      </c>
      <c r="AQ112" s="43" t="s">
        <v>13</v>
      </c>
      <c r="AV112" s="42">
        <f t="shared" si="38"/>
        <v>0</v>
      </c>
      <c r="AW112" s="42">
        <f t="shared" si="39"/>
        <v>0</v>
      </c>
      <c r="AX112" s="42">
        <f t="shared" si="40"/>
        <v>0</v>
      </c>
      <c r="AY112" s="45" t="s">
        <v>635</v>
      </c>
      <c r="AZ112" s="45" t="s">
        <v>658</v>
      </c>
      <c r="BA112" s="41" t="s">
        <v>664</v>
      </c>
      <c r="BC112" s="42">
        <f t="shared" si="41"/>
        <v>0</v>
      </c>
      <c r="BD112" s="42">
        <f t="shared" si="42"/>
        <v>0</v>
      </c>
      <c r="BE112" s="42">
        <v>0</v>
      </c>
      <c r="BF112" s="42">
        <f>110</f>
        <v>110</v>
      </c>
      <c r="BH112" s="24">
        <f t="shared" si="43"/>
        <v>0</v>
      </c>
      <c r="BI112" s="24">
        <f t="shared" si="44"/>
        <v>0</v>
      </c>
      <c r="BJ112" s="24">
        <f t="shared" si="45"/>
        <v>0</v>
      </c>
      <c r="BK112" s="24" t="s">
        <v>669</v>
      </c>
      <c r="BL112" s="42">
        <v>725</v>
      </c>
    </row>
    <row r="113" spans="1:64" x14ac:dyDescent="0.25">
      <c r="A113" s="4" t="s">
        <v>60</v>
      </c>
      <c r="B113" s="14" t="s">
        <v>209</v>
      </c>
      <c r="C113" s="136" t="s">
        <v>416</v>
      </c>
      <c r="D113" s="137"/>
      <c r="E113" s="137"/>
      <c r="F113" s="137"/>
      <c r="G113" s="14" t="s">
        <v>599</v>
      </c>
      <c r="H113" s="78">
        <v>0.32</v>
      </c>
      <c r="I113" s="24">
        <v>0</v>
      </c>
      <c r="J113" s="24">
        <f t="shared" si="24"/>
        <v>0</v>
      </c>
      <c r="K113" s="24">
        <f t="shared" si="25"/>
        <v>0</v>
      </c>
      <c r="L113" s="24">
        <f t="shared" si="26"/>
        <v>0</v>
      </c>
      <c r="M113" s="35" t="s">
        <v>616</v>
      </c>
      <c r="N113" s="5"/>
      <c r="Z113" s="42">
        <f t="shared" si="27"/>
        <v>0</v>
      </c>
      <c r="AB113" s="42">
        <f t="shared" si="28"/>
        <v>0</v>
      </c>
      <c r="AC113" s="42">
        <f t="shared" si="29"/>
        <v>0</v>
      </c>
      <c r="AD113" s="42">
        <f t="shared" si="30"/>
        <v>0</v>
      </c>
      <c r="AE113" s="42">
        <f t="shared" si="31"/>
        <v>0</v>
      </c>
      <c r="AF113" s="42">
        <f t="shared" si="32"/>
        <v>0</v>
      </c>
      <c r="AG113" s="42">
        <f t="shared" si="33"/>
        <v>0</v>
      </c>
      <c r="AH113" s="42">
        <f t="shared" si="34"/>
        <v>0</v>
      </c>
      <c r="AI113" s="41"/>
      <c r="AJ113" s="24">
        <f t="shared" si="35"/>
        <v>0</v>
      </c>
      <c r="AK113" s="24">
        <f t="shared" si="36"/>
        <v>0</v>
      </c>
      <c r="AL113" s="24">
        <f t="shared" si="37"/>
        <v>0</v>
      </c>
      <c r="AN113" s="42">
        <v>15</v>
      </c>
      <c r="AO113" s="42">
        <f>I113*0</f>
        <v>0</v>
      </c>
      <c r="AP113" s="42">
        <f>I113*(1-0)</f>
        <v>0</v>
      </c>
      <c r="AQ113" s="43" t="s">
        <v>11</v>
      </c>
      <c r="AV113" s="42">
        <f t="shared" si="38"/>
        <v>0</v>
      </c>
      <c r="AW113" s="42">
        <f t="shared" si="39"/>
        <v>0</v>
      </c>
      <c r="AX113" s="42">
        <f t="shared" si="40"/>
        <v>0</v>
      </c>
      <c r="AY113" s="45" t="s">
        <v>635</v>
      </c>
      <c r="AZ113" s="45" t="s">
        <v>658</v>
      </c>
      <c r="BA113" s="41" t="s">
        <v>664</v>
      </c>
      <c r="BC113" s="42">
        <f t="shared" si="41"/>
        <v>0</v>
      </c>
      <c r="BD113" s="42">
        <f t="shared" si="42"/>
        <v>0</v>
      </c>
      <c r="BE113" s="42">
        <v>0</v>
      </c>
      <c r="BF113" s="42">
        <f>111</f>
        <v>111</v>
      </c>
      <c r="BH113" s="24">
        <f t="shared" si="43"/>
        <v>0</v>
      </c>
      <c r="BI113" s="24">
        <f t="shared" si="44"/>
        <v>0</v>
      </c>
      <c r="BJ113" s="24">
        <f t="shared" si="45"/>
        <v>0</v>
      </c>
      <c r="BK113" s="24" t="s">
        <v>669</v>
      </c>
      <c r="BL113" s="42">
        <v>725</v>
      </c>
    </row>
    <row r="114" spans="1:64" x14ac:dyDescent="0.25">
      <c r="A114" s="6"/>
      <c r="B114" s="15" t="s">
        <v>210</v>
      </c>
      <c r="C114" s="141" t="s">
        <v>417</v>
      </c>
      <c r="D114" s="142"/>
      <c r="E114" s="142"/>
      <c r="F114" s="142"/>
      <c r="G114" s="22" t="s">
        <v>6</v>
      </c>
      <c r="H114" s="22" t="s">
        <v>6</v>
      </c>
      <c r="I114" s="22" t="s">
        <v>6</v>
      </c>
      <c r="J114" s="48">
        <f>SUM(J115:J119)</f>
        <v>0</v>
      </c>
      <c r="K114" s="48">
        <f>SUM(K115:K119)</f>
        <v>0</v>
      </c>
      <c r="L114" s="48">
        <f>SUM(L115:L119)</f>
        <v>0</v>
      </c>
      <c r="M114" s="37"/>
      <c r="N114" s="5"/>
      <c r="AI114" s="41"/>
      <c r="AS114" s="48">
        <f>SUM(AJ115:AJ119)</f>
        <v>0</v>
      </c>
      <c r="AT114" s="48">
        <f>SUM(AK115:AK119)</f>
        <v>0</v>
      </c>
      <c r="AU114" s="48">
        <f>SUM(AL115:AL119)</f>
        <v>0</v>
      </c>
    </row>
    <row r="115" spans="1:64" x14ac:dyDescent="0.25">
      <c r="A115" s="4" t="s">
        <v>61</v>
      </c>
      <c r="B115" s="14" t="s">
        <v>211</v>
      </c>
      <c r="C115" s="136" t="s">
        <v>418</v>
      </c>
      <c r="D115" s="137"/>
      <c r="E115" s="137"/>
      <c r="F115" s="137"/>
      <c r="G115" s="14" t="s">
        <v>597</v>
      </c>
      <c r="H115" s="78">
        <v>2</v>
      </c>
      <c r="I115" s="24">
        <v>0</v>
      </c>
      <c r="J115" s="24">
        <f>H115*AO115</f>
        <v>0</v>
      </c>
      <c r="K115" s="24">
        <f>H115*AP115</f>
        <v>0</v>
      </c>
      <c r="L115" s="24">
        <f>H115*I115</f>
        <v>0</v>
      </c>
      <c r="M115" s="35" t="s">
        <v>616</v>
      </c>
      <c r="N115" s="5"/>
      <c r="Z115" s="42">
        <f>IF(AQ115="5",BJ115,0)</f>
        <v>0</v>
      </c>
      <c r="AB115" s="42">
        <f>IF(AQ115="1",BH115,0)</f>
        <v>0</v>
      </c>
      <c r="AC115" s="42">
        <f>IF(AQ115="1",BI115,0)</f>
        <v>0</v>
      </c>
      <c r="AD115" s="42">
        <f>IF(AQ115="7",BH115,0)</f>
        <v>0</v>
      </c>
      <c r="AE115" s="42">
        <f>IF(AQ115="7",BI115,0)</f>
        <v>0</v>
      </c>
      <c r="AF115" s="42">
        <f>IF(AQ115="2",BH115,0)</f>
        <v>0</v>
      </c>
      <c r="AG115" s="42">
        <f>IF(AQ115="2",BI115,0)</f>
        <v>0</v>
      </c>
      <c r="AH115" s="42">
        <f>IF(AQ115="0",BJ115,0)</f>
        <v>0</v>
      </c>
      <c r="AI115" s="41"/>
      <c r="AJ115" s="24">
        <f>IF(AN115=0,L115,0)</f>
        <v>0</v>
      </c>
      <c r="AK115" s="24">
        <f>IF(AN115=15,L115,0)</f>
        <v>0</v>
      </c>
      <c r="AL115" s="24">
        <f>IF(AN115=21,L115,0)</f>
        <v>0</v>
      </c>
      <c r="AN115" s="42">
        <v>15</v>
      </c>
      <c r="AO115" s="42">
        <f>I115*0.131528776978417</f>
        <v>0</v>
      </c>
      <c r="AP115" s="42">
        <f>I115*(1-0.131528776978417)</f>
        <v>0</v>
      </c>
      <c r="AQ115" s="43" t="s">
        <v>13</v>
      </c>
      <c r="AV115" s="42">
        <f>AW115+AX115</f>
        <v>0</v>
      </c>
      <c r="AW115" s="42">
        <f>H115*AO115</f>
        <v>0</v>
      </c>
      <c r="AX115" s="42">
        <f>H115*AP115</f>
        <v>0</v>
      </c>
      <c r="AY115" s="45" t="s">
        <v>636</v>
      </c>
      <c r="AZ115" s="45" t="s">
        <v>659</v>
      </c>
      <c r="BA115" s="41" t="s">
        <v>664</v>
      </c>
      <c r="BC115" s="42">
        <f>AW115+AX115</f>
        <v>0</v>
      </c>
      <c r="BD115" s="42">
        <f>I115/(100-BE115)*100</f>
        <v>0</v>
      </c>
      <c r="BE115" s="42">
        <v>0</v>
      </c>
      <c r="BF115" s="42">
        <f>113</f>
        <v>113</v>
      </c>
      <c r="BH115" s="24">
        <f>H115*AO115</f>
        <v>0</v>
      </c>
      <c r="BI115" s="24">
        <f>H115*AP115</f>
        <v>0</v>
      </c>
      <c r="BJ115" s="24">
        <f>H115*I115</f>
        <v>0</v>
      </c>
      <c r="BK115" s="24" t="s">
        <v>669</v>
      </c>
      <c r="BL115" s="42">
        <v>733</v>
      </c>
    </row>
    <row r="116" spans="1:64" x14ac:dyDescent="0.25">
      <c r="A116" s="4" t="s">
        <v>62</v>
      </c>
      <c r="B116" s="14" t="s">
        <v>212</v>
      </c>
      <c r="C116" s="136" t="s">
        <v>419</v>
      </c>
      <c r="D116" s="137"/>
      <c r="E116" s="137"/>
      <c r="F116" s="137"/>
      <c r="G116" s="14" t="s">
        <v>597</v>
      </c>
      <c r="H116" s="78">
        <v>5</v>
      </c>
      <c r="I116" s="24">
        <v>0</v>
      </c>
      <c r="J116" s="24">
        <f>H116*AO116</f>
        <v>0</v>
      </c>
      <c r="K116" s="24">
        <f>H116*AP116</f>
        <v>0</v>
      </c>
      <c r="L116" s="24">
        <f>H116*I116</f>
        <v>0</v>
      </c>
      <c r="M116" s="35" t="s">
        <v>616</v>
      </c>
      <c r="N116" s="5"/>
      <c r="Z116" s="42">
        <f>IF(AQ116="5",BJ116,0)</f>
        <v>0</v>
      </c>
      <c r="AB116" s="42">
        <f>IF(AQ116="1",BH116,0)</f>
        <v>0</v>
      </c>
      <c r="AC116" s="42">
        <f>IF(AQ116="1",BI116,0)</f>
        <v>0</v>
      </c>
      <c r="AD116" s="42">
        <f>IF(AQ116="7",BH116,0)</f>
        <v>0</v>
      </c>
      <c r="AE116" s="42">
        <f>IF(AQ116="7",BI116,0)</f>
        <v>0</v>
      </c>
      <c r="AF116" s="42">
        <f>IF(AQ116="2",BH116,0)</f>
        <v>0</v>
      </c>
      <c r="AG116" s="42">
        <f>IF(AQ116="2",BI116,0)</f>
        <v>0</v>
      </c>
      <c r="AH116" s="42">
        <f>IF(AQ116="0",BJ116,0)</f>
        <v>0</v>
      </c>
      <c r="AI116" s="41"/>
      <c r="AJ116" s="24">
        <f>IF(AN116=0,L116,0)</f>
        <v>0</v>
      </c>
      <c r="AK116" s="24">
        <f>IF(AN116=15,L116,0)</f>
        <v>0</v>
      </c>
      <c r="AL116" s="24">
        <f>IF(AN116=21,L116,0)</f>
        <v>0</v>
      </c>
      <c r="AN116" s="42">
        <v>15</v>
      </c>
      <c r="AO116" s="42">
        <f>I116*0.417555555555556</f>
        <v>0</v>
      </c>
      <c r="AP116" s="42">
        <f>I116*(1-0.417555555555556)</f>
        <v>0</v>
      </c>
      <c r="AQ116" s="43" t="s">
        <v>13</v>
      </c>
      <c r="AV116" s="42">
        <f>AW116+AX116</f>
        <v>0</v>
      </c>
      <c r="AW116" s="42">
        <f>H116*AO116</f>
        <v>0</v>
      </c>
      <c r="AX116" s="42">
        <f>H116*AP116</f>
        <v>0</v>
      </c>
      <c r="AY116" s="45" t="s">
        <v>636</v>
      </c>
      <c r="AZ116" s="45" t="s">
        <v>659</v>
      </c>
      <c r="BA116" s="41" t="s">
        <v>664</v>
      </c>
      <c r="BC116" s="42">
        <f>AW116+AX116</f>
        <v>0</v>
      </c>
      <c r="BD116" s="42">
        <f>I116/(100-BE116)*100</f>
        <v>0</v>
      </c>
      <c r="BE116" s="42">
        <v>0</v>
      </c>
      <c r="BF116" s="42">
        <f>114</f>
        <v>114</v>
      </c>
      <c r="BH116" s="24">
        <f>H116*AO116</f>
        <v>0</v>
      </c>
      <c r="BI116" s="24">
        <f>H116*AP116</f>
        <v>0</v>
      </c>
      <c r="BJ116" s="24">
        <f>H116*I116</f>
        <v>0</v>
      </c>
      <c r="BK116" s="24" t="s">
        <v>669</v>
      </c>
      <c r="BL116" s="42">
        <v>733</v>
      </c>
    </row>
    <row r="117" spans="1:64" x14ac:dyDescent="0.25">
      <c r="A117" s="5"/>
      <c r="C117" s="18" t="s">
        <v>420</v>
      </c>
      <c r="F117" s="20"/>
      <c r="H117" s="79">
        <v>5</v>
      </c>
      <c r="M117" s="36"/>
      <c r="N117" s="5"/>
    </row>
    <row r="118" spans="1:64" x14ac:dyDescent="0.25">
      <c r="A118" s="4" t="s">
        <v>63</v>
      </c>
      <c r="B118" s="14" t="s">
        <v>213</v>
      </c>
      <c r="C118" s="136" t="s">
        <v>421</v>
      </c>
      <c r="D118" s="137"/>
      <c r="E118" s="137"/>
      <c r="F118" s="137"/>
      <c r="G118" s="14" t="s">
        <v>598</v>
      </c>
      <c r="H118" s="78">
        <v>1</v>
      </c>
      <c r="I118" s="24">
        <v>0</v>
      </c>
      <c r="J118" s="24">
        <f>H118*AO118</f>
        <v>0</v>
      </c>
      <c r="K118" s="24">
        <f>H118*AP118</f>
        <v>0</v>
      </c>
      <c r="L118" s="24">
        <f>H118*I118</f>
        <v>0</v>
      </c>
      <c r="M118" s="35" t="s">
        <v>616</v>
      </c>
      <c r="N118" s="5"/>
      <c r="Z118" s="42">
        <f>IF(AQ118="5",BJ118,0)</f>
        <v>0</v>
      </c>
      <c r="AB118" s="42">
        <f>IF(AQ118="1",BH118,0)</f>
        <v>0</v>
      </c>
      <c r="AC118" s="42">
        <f>IF(AQ118="1",BI118,0)</f>
        <v>0</v>
      </c>
      <c r="AD118" s="42">
        <f>IF(AQ118="7",BH118,0)</f>
        <v>0</v>
      </c>
      <c r="AE118" s="42">
        <f>IF(AQ118="7",BI118,0)</f>
        <v>0</v>
      </c>
      <c r="AF118" s="42">
        <f>IF(AQ118="2",BH118,0)</f>
        <v>0</v>
      </c>
      <c r="AG118" s="42">
        <f>IF(AQ118="2",BI118,0)</f>
        <v>0</v>
      </c>
      <c r="AH118" s="42">
        <f>IF(AQ118="0",BJ118,0)</f>
        <v>0</v>
      </c>
      <c r="AI118" s="41"/>
      <c r="AJ118" s="24">
        <f>IF(AN118=0,L118,0)</f>
        <v>0</v>
      </c>
      <c r="AK118" s="24">
        <f>IF(AN118=15,L118,0)</f>
        <v>0</v>
      </c>
      <c r="AL118" s="24">
        <f>IF(AN118=21,L118,0)</f>
        <v>0</v>
      </c>
      <c r="AN118" s="42">
        <v>15</v>
      </c>
      <c r="AO118" s="42">
        <f>I118*0</f>
        <v>0</v>
      </c>
      <c r="AP118" s="42">
        <f>I118*(1-0)</f>
        <v>0</v>
      </c>
      <c r="AQ118" s="43" t="s">
        <v>13</v>
      </c>
      <c r="AV118" s="42">
        <f>AW118+AX118</f>
        <v>0</v>
      </c>
      <c r="AW118" s="42">
        <f>H118*AO118</f>
        <v>0</v>
      </c>
      <c r="AX118" s="42">
        <f>H118*AP118</f>
        <v>0</v>
      </c>
      <c r="AY118" s="45" t="s">
        <v>636</v>
      </c>
      <c r="AZ118" s="45" t="s">
        <v>659</v>
      </c>
      <c r="BA118" s="41" t="s">
        <v>664</v>
      </c>
      <c r="BC118" s="42">
        <f>AW118+AX118</f>
        <v>0</v>
      </c>
      <c r="BD118" s="42">
        <f>I118/(100-BE118)*100</f>
        <v>0</v>
      </c>
      <c r="BE118" s="42">
        <v>0</v>
      </c>
      <c r="BF118" s="42">
        <f>116</f>
        <v>116</v>
      </c>
      <c r="BH118" s="24">
        <f>H118*AO118</f>
        <v>0</v>
      </c>
      <c r="BI118" s="24">
        <f>H118*AP118</f>
        <v>0</v>
      </c>
      <c r="BJ118" s="24">
        <f>H118*I118</f>
        <v>0</v>
      </c>
      <c r="BK118" s="24" t="s">
        <v>669</v>
      </c>
      <c r="BL118" s="42">
        <v>733</v>
      </c>
    </row>
    <row r="119" spans="1:64" x14ac:dyDescent="0.25">
      <c r="A119" s="4" t="s">
        <v>64</v>
      </c>
      <c r="B119" s="14" t="s">
        <v>214</v>
      </c>
      <c r="C119" s="136" t="s">
        <v>422</v>
      </c>
      <c r="D119" s="137"/>
      <c r="E119" s="137"/>
      <c r="F119" s="137"/>
      <c r="G119" s="14" t="s">
        <v>599</v>
      </c>
      <c r="H119" s="78">
        <v>3.7</v>
      </c>
      <c r="I119" s="24">
        <v>0</v>
      </c>
      <c r="J119" s="24">
        <f>H119*AO119</f>
        <v>0</v>
      </c>
      <c r="K119" s="24">
        <f>H119*AP119</f>
        <v>0</v>
      </c>
      <c r="L119" s="24">
        <f>H119*I119</f>
        <v>0</v>
      </c>
      <c r="M119" s="35" t="s">
        <v>616</v>
      </c>
      <c r="N119" s="5"/>
      <c r="Z119" s="42">
        <f>IF(AQ119="5",BJ119,0)</f>
        <v>0</v>
      </c>
      <c r="AB119" s="42">
        <f>IF(AQ119="1",BH119,0)</f>
        <v>0</v>
      </c>
      <c r="AC119" s="42">
        <f>IF(AQ119="1",BI119,0)</f>
        <v>0</v>
      </c>
      <c r="AD119" s="42">
        <f>IF(AQ119="7",BH119,0)</f>
        <v>0</v>
      </c>
      <c r="AE119" s="42">
        <f>IF(AQ119="7",BI119,0)</f>
        <v>0</v>
      </c>
      <c r="AF119" s="42">
        <f>IF(AQ119="2",BH119,0)</f>
        <v>0</v>
      </c>
      <c r="AG119" s="42">
        <f>IF(AQ119="2",BI119,0)</f>
        <v>0</v>
      </c>
      <c r="AH119" s="42">
        <f>IF(AQ119="0",BJ119,0)</f>
        <v>0</v>
      </c>
      <c r="AI119" s="41"/>
      <c r="AJ119" s="24">
        <f>IF(AN119=0,L119,0)</f>
        <v>0</v>
      </c>
      <c r="AK119" s="24">
        <f>IF(AN119=15,L119,0)</f>
        <v>0</v>
      </c>
      <c r="AL119" s="24">
        <f>IF(AN119=21,L119,0)</f>
        <v>0</v>
      </c>
      <c r="AN119" s="42">
        <v>15</v>
      </c>
      <c r="AO119" s="42">
        <f>I119*0</f>
        <v>0</v>
      </c>
      <c r="AP119" s="42">
        <f>I119*(1-0)</f>
        <v>0</v>
      </c>
      <c r="AQ119" s="43" t="s">
        <v>11</v>
      </c>
      <c r="AV119" s="42">
        <f>AW119+AX119</f>
        <v>0</v>
      </c>
      <c r="AW119" s="42">
        <f>H119*AO119</f>
        <v>0</v>
      </c>
      <c r="AX119" s="42">
        <f>H119*AP119</f>
        <v>0</v>
      </c>
      <c r="AY119" s="45" t="s">
        <v>636</v>
      </c>
      <c r="AZ119" s="45" t="s">
        <v>659</v>
      </c>
      <c r="BA119" s="41" t="s">
        <v>664</v>
      </c>
      <c r="BC119" s="42">
        <f>AW119+AX119</f>
        <v>0</v>
      </c>
      <c r="BD119" s="42">
        <f>I119/(100-BE119)*100</f>
        <v>0</v>
      </c>
      <c r="BE119" s="42">
        <v>0</v>
      </c>
      <c r="BF119" s="42">
        <f>117</f>
        <v>117</v>
      </c>
      <c r="BH119" s="24">
        <f>H119*AO119</f>
        <v>0</v>
      </c>
      <c r="BI119" s="24">
        <f>H119*AP119</f>
        <v>0</v>
      </c>
      <c r="BJ119" s="24">
        <f>H119*I119</f>
        <v>0</v>
      </c>
      <c r="BK119" s="24" t="s">
        <v>669</v>
      </c>
      <c r="BL119" s="42">
        <v>733</v>
      </c>
    </row>
    <row r="120" spans="1:64" x14ac:dyDescent="0.25">
      <c r="A120" s="6"/>
      <c r="B120" s="15" t="s">
        <v>215</v>
      </c>
      <c r="C120" s="141" t="s">
        <v>423</v>
      </c>
      <c r="D120" s="142"/>
      <c r="E120" s="142"/>
      <c r="F120" s="142"/>
      <c r="G120" s="22" t="s">
        <v>6</v>
      </c>
      <c r="H120" s="22" t="s">
        <v>6</v>
      </c>
      <c r="I120" s="22" t="s">
        <v>6</v>
      </c>
      <c r="J120" s="48">
        <f>SUM(J121:J123)</f>
        <v>0</v>
      </c>
      <c r="K120" s="48">
        <f>SUM(K121:K123)</f>
        <v>0</v>
      </c>
      <c r="L120" s="48">
        <f>SUM(L121:L123)</f>
        <v>0</v>
      </c>
      <c r="M120" s="37"/>
      <c r="N120" s="5"/>
      <c r="AI120" s="41"/>
      <c r="AS120" s="48">
        <f>SUM(AJ121:AJ123)</f>
        <v>0</v>
      </c>
      <c r="AT120" s="48">
        <f>SUM(AK121:AK123)</f>
        <v>0</v>
      </c>
      <c r="AU120" s="48">
        <f>SUM(AL121:AL123)</f>
        <v>0</v>
      </c>
    </row>
    <row r="121" spans="1:64" x14ac:dyDescent="0.25">
      <c r="A121" s="4" t="s">
        <v>65</v>
      </c>
      <c r="B121" s="14" t="s">
        <v>216</v>
      </c>
      <c r="C121" s="136" t="s">
        <v>424</v>
      </c>
      <c r="D121" s="137"/>
      <c r="E121" s="137"/>
      <c r="F121" s="137"/>
      <c r="G121" s="14" t="s">
        <v>598</v>
      </c>
      <c r="H121" s="78">
        <v>1</v>
      </c>
      <c r="I121" s="24">
        <v>0</v>
      </c>
      <c r="J121" s="24">
        <f>H121*AO121</f>
        <v>0</v>
      </c>
      <c r="K121" s="24">
        <f>H121*AP121</f>
        <v>0</v>
      </c>
      <c r="L121" s="24">
        <f>H121*I121</f>
        <v>0</v>
      </c>
      <c r="M121" s="35" t="s">
        <v>616</v>
      </c>
      <c r="N121" s="5"/>
      <c r="Z121" s="42">
        <f>IF(AQ121="5",BJ121,0)</f>
        <v>0</v>
      </c>
      <c r="AB121" s="42">
        <f>IF(AQ121="1",BH121,0)</f>
        <v>0</v>
      </c>
      <c r="AC121" s="42">
        <f>IF(AQ121="1",BI121,0)</f>
        <v>0</v>
      </c>
      <c r="AD121" s="42">
        <f>IF(AQ121="7",BH121,0)</f>
        <v>0</v>
      </c>
      <c r="AE121" s="42">
        <f>IF(AQ121="7",BI121,0)</f>
        <v>0</v>
      </c>
      <c r="AF121" s="42">
        <f>IF(AQ121="2",BH121,0)</f>
        <v>0</v>
      </c>
      <c r="AG121" s="42">
        <f>IF(AQ121="2",BI121,0)</f>
        <v>0</v>
      </c>
      <c r="AH121" s="42">
        <f>IF(AQ121="0",BJ121,0)</f>
        <v>0</v>
      </c>
      <c r="AI121" s="41"/>
      <c r="AJ121" s="24">
        <f>IF(AN121=0,L121,0)</f>
        <v>0</v>
      </c>
      <c r="AK121" s="24">
        <f>IF(AN121=15,L121,0)</f>
        <v>0</v>
      </c>
      <c r="AL121" s="24">
        <f>IF(AN121=21,L121,0)</f>
        <v>0</v>
      </c>
      <c r="AN121" s="42">
        <v>15</v>
      </c>
      <c r="AO121" s="42">
        <f>I121*0.84435</f>
        <v>0</v>
      </c>
      <c r="AP121" s="42">
        <f>I121*(1-0.84435)</f>
        <v>0</v>
      </c>
      <c r="AQ121" s="43" t="s">
        <v>13</v>
      </c>
      <c r="AV121" s="42">
        <f>AW121+AX121</f>
        <v>0</v>
      </c>
      <c r="AW121" s="42">
        <f>H121*AO121</f>
        <v>0</v>
      </c>
      <c r="AX121" s="42">
        <f>H121*AP121</f>
        <v>0</v>
      </c>
      <c r="AY121" s="45" t="s">
        <v>637</v>
      </c>
      <c r="AZ121" s="45" t="s">
        <v>659</v>
      </c>
      <c r="BA121" s="41" t="s">
        <v>664</v>
      </c>
      <c r="BC121" s="42">
        <f>AW121+AX121</f>
        <v>0</v>
      </c>
      <c r="BD121" s="42">
        <f>I121/(100-BE121)*100</f>
        <v>0</v>
      </c>
      <c r="BE121" s="42">
        <v>0</v>
      </c>
      <c r="BF121" s="42">
        <f>119</f>
        <v>119</v>
      </c>
      <c r="BH121" s="24">
        <f>H121*AO121</f>
        <v>0</v>
      </c>
      <c r="BI121" s="24">
        <f>H121*AP121</f>
        <v>0</v>
      </c>
      <c r="BJ121" s="24">
        <f>H121*I121</f>
        <v>0</v>
      </c>
      <c r="BK121" s="24" t="s">
        <v>669</v>
      </c>
      <c r="BL121" s="42">
        <v>734</v>
      </c>
    </row>
    <row r="122" spans="1:64" x14ac:dyDescent="0.25">
      <c r="A122" s="4" t="s">
        <v>66</v>
      </c>
      <c r="B122" s="14" t="s">
        <v>217</v>
      </c>
      <c r="C122" s="136" t="s">
        <v>425</v>
      </c>
      <c r="D122" s="137"/>
      <c r="E122" s="137"/>
      <c r="F122" s="137"/>
      <c r="G122" s="14" t="s">
        <v>598</v>
      </c>
      <c r="H122" s="78">
        <v>1</v>
      </c>
      <c r="I122" s="24">
        <v>0</v>
      </c>
      <c r="J122" s="24">
        <f>H122*AO122</f>
        <v>0</v>
      </c>
      <c r="K122" s="24">
        <f>H122*AP122</f>
        <v>0</v>
      </c>
      <c r="L122" s="24">
        <f>H122*I122</f>
        <v>0</v>
      </c>
      <c r="M122" s="35" t="s">
        <v>616</v>
      </c>
      <c r="N122" s="5"/>
      <c r="Z122" s="42">
        <f>IF(AQ122="5",BJ122,0)</f>
        <v>0</v>
      </c>
      <c r="AB122" s="42">
        <f>IF(AQ122="1",BH122,0)</f>
        <v>0</v>
      </c>
      <c r="AC122" s="42">
        <f>IF(AQ122="1",BI122,0)</f>
        <v>0</v>
      </c>
      <c r="AD122" s="42">
        <f>IF(AQ122="7",BH122,0)</f>
        <v>0</v>
      </c>
      <c r="AE122" s="42">
        <f>IF(AQ122="7",BI122,0)</f>
        <v>0</v>
      </c>
      <c r="AF122" s="42">
        <f>IF(AQ122="2",BH122,0)</f>
        <v>0</v>
      </c>
      <c r="AG122" s="42">
        <f>IF(AQ122="2",BI122,0)</f>
        <v>0</v>
      </c>
      <c r="AH122" s="42">
        <f>IF(AQ122="0",BJ122,0)</f>
        <v>0</v>
      </c>
      <c r="AI122" s="41"/>
      <c r="AJ122" s="24">
        <f>IF(AN122=0,L122,0)</f>
        <v>0</v>
      </c>
      <c r="AK122" s="24">
        <f>IF(AN122=15,L122,0)</f>
        <v>0</v>
      </c>
      <c r="AL122" s="24">
        <f>IF(AN122=21,L122,0)</f>
        <v>0</v>
      </c>
      <c r="AN122" s="42">
        <v>15</v>
      </c>
      <c r="AO122" s="42">
        <f>I122*0.727058823529412</f>
        <v>0</v>
      </c>
      <c r="AP122" s="42">
        <f>I122*(1-0.727058823529412)</f>
        <v>0</v>
      </c>
      <c r="AQ122" s="43" t="s">
        <v>13</v>
      </c>
      <c r="AV122" s="42">
        <f>AW122+AX122</f>
        <v>0</v>
      </c>
      <c r="AW122" s="42">
        <f>H122*AO122</f>
        <v>0</v>
      </c>
      <c r="AX122" s="42">
        <f>H122*AP122</f>
        <v>0</v>
      </c>
      <c r="AY122" s="45" t="s">
        <v>637</v>
      </c>
      <c r="AZ122" s="45" t="s">
        <v>659</v>
      </c>
      <c r="BA122" s="41" t="s">
        <v>664</v>
      </c>
      <c r="BC122" s="42">
        <f>AW122+AX122</f>
        <v>0</v>
      </c>
      <c r="BD122" s="42">
        <f>I122/(100-BE122)*100</f>
        <v>0</v>
      </c>
      <c r="BE122" s="42">
        <v>0</v>
      </c>
      <c r="BF122" s="42">
        <f>120</f>
        <v>120</v>
      </c>
      <c r="BH122" s="24">
        <f>H122*AO122</f>
        <v>0</v>
      </c>
      <c r="BI122" s="24">
        <f>H122*AP122</f>
        <v>0</v>
      </c>
      <c r="BJ122" s="24">
        <f>H122*I122</f>
        <v>0</v>
      </c>
      <c r="BK122" s="24" t="s">
        <v>669</v>
      </c>
      <c r="BL122" s="42">
        <v>734</v>
      </c>
    </row>
    <row r="123" spans="1:64" x14ac:dyDescent="0.25">
      <c r="A123" s="4" t="s">
        <v>67</v>
      </c>
      <c r="B123" s="14" t="s">
        <v>218</v>
      </c>
      <c r="C123" s="136" t="s">
        <v>426</v>
      </c>
      <c r="D123" s="137"/>
      <c r="E123" s="137"/>
      <c r="F123" s="137"/>
      <c r="G123" s="14" t="s">
        <v>599</v>
      </c>
      <c r="H123" s="78">
        <v>0.41</v>
      </c>
      <c r="I123" s="24">
        <v>0</v>
      </c>
      <c r="J123" s="24">
        <f>H123*AO123</f>
        <v>0</v>
      </c>
      <c r="K123" s="24">
        <f>H123*AP123</f>
        <v>0</v>
      </c>
      <c r="L123" s="24">
        <f>H123*I123</f>
        <v>0</v>
      </c>
      <c r="M123" s="35" t="s">
        <v>616</v>
      </c>
      <c r="N123" s="5"/>
      <c r="Z123" s="42">
        <f>IF(AQ123="5",BJ123,0)</f>
        <v>0</v>
      </c>
      <c r="AB123" s="42">
        <f>IF(AQ123="1",BH123,0)</f>
        <v>0</v>
      </c>
      <c r="AC123" s="42">
        <f>IF(AQ123="1",BI123,0)</f>
        <v>0</v>
      </c>
      <c r="AD123" s="42">
        <f>IF(AQ123="7",BH123,0)</f>
        <v>0</v>
      </c>
      <c r="AE123" s="42">
        <f>IF(AQ123="7",BI123,0)</f>
        <v>0</v>
      </c>
      <c r="AF123" s="42">
        <f>IF(AQ123="2",BH123,0)</f>
        <v>0</v>
      </c>
      <c r="AG123" s="42">
        <f>IF(AQ123="2",BI123,0)</f>
        <v>0</v>
      </c>
      <c r="AH123" s="42">
        <f>IF(AQ123="0",BJ123,0)</f>
        <v>0</v>
      </c>
      <c r="AI123" s="41"/>
      <c r="AJ123" s="24">
        <f>IF(AN123=0,L123,0)</f>
        <v>0</v>
      </c>
      <c r="AK123" s="24">
        <f>IF(AN123=15,L123,0)</f>
        <v>0</v>
      </c>
      <c r="AL123" s="24">
        <f>IF(AN123=21,L123,0)</f>
        <v>0</v>
      </c>
      <c r="AN123" s="42">
        <v>15</v>
      </c>
      <c r="AO123" s="42">
        <f>I123*0</f>
        <v>0</v>
      </c>
      <c r="AP123" s="42">
        <f>I123*(1-0)</f>
        <v>0</v>
      </c>
      <c r="AQ123" s="43" t="s">
        <v>11</v>
      </c>
      <c r="AV123" s="42">
        <f>AW123+AX123</f>
        <v>0</v>
      </c>
      <c r="AW123" s="42">
        <f>H123*AO123</f>
        <v>0</v>
      </c>
      <c r="AX123" s="42">
        <f>H123*AP123</f>
        <v>0</v>
      </c>
      <c r="AY123" s="45" t="s">
        <v>637</v>
      </c>
      <c r="AZ123" s="45" t="s">
        <v>659</v>
      </c>
      <c r="BA123" s="41" t="s">
        <v>664</v>
      </c>
      <c r="BC123" s="42">
        <f>AW123+AX123</f>
        <v>0</v>
      </c>
      <c r="BD123" s="42">
        <f>I123/(100-BE123)*100</f>
        <v>0</v>
      </c>
      <c r="BE123" s="42">
        <v>0</v>
      </c>
      <c r="BF123" s="42">
        <f>121</f>
        <v>121</v>
      </c>
      <c r="BH123" s="24">
        <f>H123*AO123</f>
        <v>0</v>
      </c>
      <c r="BI123" s="24">
        <f>H123*AP123</f>
        <v>0</v>
      </c>
      <c r="BJ123" s="24">
        <f>H123*I123</f>
        <v>0</v>
      </c>
      <c r="BK123" s="24" t="s">
        <v>669</v>
      </c>
      <c r="BL123" s="42">
        <v>734</v>
      </c>
    </row>
    <row r="124" spans="1:64" x14ac:dyDescent="0.25">
      <c r="A124" s="6"/>
      <c r="B124" s="15" t="s">
        <v>219</v>
      </c>
      <c r="C124" s="141" t="s">
        <v>427</v>
      </c>
      <c r="D124" s="142"/>
      <c r="E124" s="142"/>
      <c r="F124" s="142"/>
      <c r="G124" s="22" t="s">
        <v>6</v>
      </c>
      <c r="H124" s="22" t="s">
        <v>6</v>
      </c>
      <c r="I124" s="22" t="s">
        <v>6</v>
      </c>
      <c r="J124" s="48">
        <f>SUM(J125:J126)</f>
        <v>0</v>
      </c>
      <c r="K124" s="48">
        <f>SUM(K125:K126)</f>
        <v>0</v>
      </c>
      <c r="L124" s="48">
        <f>SUM(L125:L126)</f>
        <v>0</v>
      </c>
      <c r="M124" s="37"/>
      <c r="N124" s="5"/>
      <c r="AI124" s="41"/>
      <c r="AS124" s="48">
        <f>SUM(AJ125:AJ126)</f>
        <v>0</v>
      </c>
      <c r="AT124" s="48">
        <f>SUM(AK125:AK126)</f>
        <v>0</v>
      </c>
      <c r="AU124" s="48">
        <f>SUM(AL125:AL126)</f>
        <v>0</v>
      </c>
    </row>
    <row r="125" spans="1:64" x14ac:dyDescent="0.25">
      <c r="A125" s="4" t="s">
        <v>68</v>
      </c>
      <c r="B125" s="14" t="s">
        <v>220</v>
      </c>
      <c r="C125" s="136" t="s">
        <v>428</v>
      </c>
      <c r="D125" s="137"/>
      <c r="E125" s="137"/>
      <c r="F125" s="137"/>
      <c r="G125" s="14" t="s">
        <v>600</v>
      </c>
      <c r="H125" s="78">
        <v>1</v>
      </c>
      <c r="I125" s="24">
        <v>0</v>
      </c>
      <c r="J125" s="24">
        <f>H125*AO125</f>
        <v>0</v>
      </c>
      <c r="K125" s="24">
        <f>H125*AP125</f>
        <v>0</v>
      </c>
      <c r="L125" s="24">
        <f>H125*I125</f>
        <v>0</v>
      </c>
      <c r="M125" s="35"/>
      <c r="N125" s="5"/>
      <c r="Z125" s="42">
        <f>IF(AQ125="5",BJ125,0)</f>
        <v>0</v>
      </c>
      <c r="AB125" s="42">
        <f>IF(AQ125="1",BH125,0)</f>
        <v>0</v>
      </c>
      <c r="AC125" s="42">
        <f>IF(AQ125="1",BI125,0)</f>
        <v>0</v>
      </c>
      <c r="AD125" s="42">
        <f>IF(AQ125="7",BH125,0)</f>
        <v>0</v>
      </c>
      <c r="AE125" s="42">
        <f>IF(AQ125="7",BI125,0)</f>
        <v>0</v>
      </c>
      <c r="AF125" s="42">
        <f>IF(AQ125="2",BH125,0)</f>
        <v>0</v>
      </c>
      <c r="AG125" s="42">
        <f>IF(AQ125="2",BI125,0)</f>
        <v>0</v>
      </c>
      <c r="AH125" s="42">
        <f>IF(AQ125="0",BJ125,0)</f>
        <v>0</v>
      </c>
      <c r="AI125" s="41"/>
      <c r="AJ125" s="24">
        <f>IF(AN125=0,L125,0)</f>
        <v>0</v>
      </c>
      <c r="AK125" s="24">
        <f>IF(AN125=15,L125,0)</f>
        <v>0</v>
      </c>
      <c r="AL125" s="24">
        <f>IF(AN125=21,L125,0)</f>
        <v>0</v>
      </c>
      <c r="AN125" s="42">
        <v>15</v>
      </c>
      <c r="AO125" s="42">
        <f>I125*0</f>
        <v>0</v>
      </c>
      <c r="AP125" s="42">
        <f>I125*(1-0)</f>
        <v>0</v>
      </c>
      <c r="AQ125" s="43" t="s">
        <v>13</v>
      </c>
      <c r="AV125" s="42">
        <f>AW125+AX125</f>
        <v>0</v>
      </c>
      <c r="AW125" s="42">
        <f>H125*AO125</f>
        <v>0</v>
      </c>
      <c r="AX125" s="42">
        <f>H125*AP125</f>
        <v>0</v>
      </c>
      <c r="AY125" s="45" t="s">
        <v>638</v>
      </c>
      <c r="AZ125" s="45" t="s">
        <v>659</v>
      </c>
      <c r="BA125" s="41" t="s">
        <v>664</v>
      </c>
      <c r="BC125" s="42">
        <f>AW125+AX125</f>
        <v>0</v>
      </c>
      <c r="BD125" s="42">
        <f>I125/(100-BE125)*100</f>
        <v>0</v>
      </c>
      <c r="BE125" s="42">
        <v>0</v>
      </c>
      <c r="BF125" s="42">
        <f>123</f>
        <v>123</v>
      </c>
      <c r="BH125" s="24">
        <f>H125*AO125</f>
        <v>0</v>
      </c>
      <c r="BI125" s="24">
        <f>H125*AP125</f>
        <v>0</v>
      </c>
      <c r="BJ125" s="24">
        <f>H125*I125</f>
        <v>0</v>
      </c>
      <c r="BK125" s="24" t="s">
        <v>669</v>
      </c>
      <c r="BL125" s="42">
        <v>735</v>
      </c>
    </row>
    <row r="126" spans="1:64" x14ac:dyDescent="0.25">
      <c r="A126" s="4" t="s">
        <v>69</v>
      </c>
      <c r="B126" s="14" t="s">
        <v>221</v>
      </c>
      <c r="C126" s="136" t="s">
        <v>429</v>
      </c>
      <c r="D126" s="137"/>
      <c r="E126" s="137"/>
      <c r="F126" s="137"/>
      <c r="G126" s="14" t="s">
        <v>599</v>
      </c>
      <c r="H126" s="78">
        <v>3</v>
      </c>
      <c r="I126" s="24">
        <v>0</v>
      </c>
      <c r="J126" s="24">
        <f>H126*AO126</f>
        <v>0</v>
      </c>
      <c r="K126" s="24">
        <f>H126*AP126</f>
        <v>0</v>
      </c>
      <c r="L126" s="24">
        <f>H126*I126</f>
        <v>0</v>
      </c>
      <c r="M126" s="35" t="s">
        <v>616</v>
      </c>
      <c r="N126" s="5"/>
      <c r="Z126" s="42">
        <f>IF(AQ126="5",BJ126,0)</f>
        <v>0</v>
      </c>
      <c r="AB126" s="42">
        <f>IF(AQ126="1",BH126,0)</f>
        <v>0</v>
      </c>
      <c r="AC126" s="42">
        <f>IF(AQ126="1",BI126,0)</f>
        <v>0</v>
      </c>
      <c r="AD126" s="42">
        <f>IF(AQ126="7",BH126,0)</f>
        <v>0</v>
      </c>
      <c r="AE126" s="42">
        <f>IF(AQ126="7",BI126,0)</f>
        <v>0</v>
      </c>
      <c r="AF126" s="42">
        <f>IF(AQ126="2",BH126,0)</f>
        <v>0</v>
      </c>
      <c r="AG126" s="42">
        <f>IF(AQ126="2",BI126,0)</f>
        <v>0</v>
      </c>
      <c r="AH126" s="42">
        <f>IF(AQ126="0",BJ126,0)</f>
        <v>0</v>
      </c>
      <c r="AI126" s="41"/>
      <c r="AJ126" s="24">
        <f>IF(AN126=0,L126,0)</f>
        <v>0</v>
      </c>
      <c r="AK126" s="24">
        <f>IF(AN126=15,L126,0)</f>
        <v>0</v>
      </c>
      <c r="AL126" s="24">
        <f>IF(AN126=21,L126,0)</f>
        <v>0</v>
      </c>
      <c r="AN126" s="42">
        <v>15</v>
      </c>
      <c r="AO126" s="42">
        <f>I126*0</f>
        <v>0</v>
      </c>
      <c r="AP126" s="42">
        <f>I126*(1-0)</f>
        <v>0</v>
      </c>
      <c r="AQ126" s="43" t="s">
        <v>11</v>
      </c>
      <c r="AV126" s="42">
        <f>AW126+AX126</f>
        <v>0</v>
      </c>
      <c r="AW126" s="42">
        <f>H126*AO126</f>
        <v>0</v>
      </c>
      <c r="AX126" s="42">
        <f>H126*AP126</f>
        <v>0</v>
      </c>
      <c r="AY126" s="45" t="s">
        <v>638</v>
      </c>
      <c r="AZ126" s="45" t="s">
        <v>659</v>
      </c>
      <c r="BA126" s="41" t="s">
        <v>664</v>
      </c>
      <c r="BC126" s="42">
        <f>AW126+AX126</f>
        <v>0</v>
      </c>
      <c r="BD126" s="42">
        <f>I126/(100-BE126)*100</f>
        <v>0</v>
      </c>
      <c r="BE126" s="42">
        <v>0</v>
      </c>
      <c r="BF126" s="42">
        <f>124</f>
        <v>124</v>
      </c>
      <c r="BH126" s="24">
        <f>H126*AO126</f>
        <v>0</v>
      </c>
      <c r="BI126" s="24">
        <f>H126*AP126</f>
        <v>0</v>
      </c>
      <c r="BJ126" s="24">
        <f>H126*I126</f>
        <v>0</v>
      </c>
      <c r="BK126" s="24" t="s">
        <v>669</v>
      </c>
      <c r="BL126" s="42">
        <v>735</v>
      </c>
    </row>
    <row r="127" spans="1:64" x14ac:dyDescent="0.25">
      <c r="A127" s="6"/>
      <c r="B127" s="15" t="s">
        <v>222</v>
      </c>
      <c r="C127" s="141" t="s">
        <v>430</v>
      </c>
      <c r="D127" s="142"/>
      <c r="E127" s="142"/>
      <c r="F127" s="142"/>
      <c r="G127" s="22" t="s">
        <v>6</v>
      </c>
      <c r="H127" s="22" t="s">
        <v>6</v>
      </c>
      <c r="I127" s="22" t="s">
        <v>6</v>
      </c>
      <c r="J127" s="48">
        <f>SUM(J128:J132)</f>
        <v>0</v>
      </c>
      <c r="K127" s="48">
        <f>SUM(K128:K132)</f>
        <v>0</v>
      </c>
      <c r="L127" s="48">
        <f>SUM(L128:L132)</f>
        <v>0</v>
      </c>
      <c r="M127" s="37"/>
      <c r="N127" s="5"/>
      <c r="AI127" s="41"/>
      <c r="AS127" s="48">
        <f>SUM(AJ128:AJ132)</f>
        <v>0</v>
      </c>
      <c r="AT127" s="48">
        <f>SUM(AK128:AK132)</f>
        <v>0</v>
      </c>
      <c r="AU127" s="48">
        <f>SUM(AL128:AL132)</f>
        <v>0</v>
      </c>
    </row>
    <row r="128" spans="1:64" x14ac:dyDescent="0.25">
      <c r="A128" s="4" t="s">
        <v>70</v>
      </c>
      <c r="B128" s="14" t="s">
        <v>223</v>
      </c>
      <c r="C128" s="136" t="s">
        <v>431</v>
      </c>
      <c r="D128" s="137"/>
      <c r="E128" s="137"/>
      <c r="F128" s="137"/>
      <c r="G128" s="14" t="s">
        <v>597</v>
      </c>
      <c r="H128" s="78">
        <v>24.15</v>
      </c>
      <c r="I128" s="24">
        <v>0</v>
      </c>
      <c r="J128" s="24">
        <f>H128*AO128</f>
        <v>0</v>
      </c>
      <c r="K128" s="24">
        <f>H128*AP128</f>
        <v>0</v>
      </c>
      <c r="L128" s="24">
        <f>H128*I128</f>
        <v>0</v>
      </c>
      <c r="M128" s="35" t="s">
        <v>616</v>
      </c>
      <c r="N128" s="5"/>
      <c r="Z128" s="42">
        <f>IF(AQ128="5",BJ128,0)</f>
        <v>0</v>
      </c>
      <c r="AB128" s="42">
        <f>IF(AQ128="1",BH128,0)</f>
        <v>0</v>
      </c>
      <c r="AC128" s="42">
        <f>IF(AQ128="1",BI128,0)</f>
        <v>0</v>
      </c>
      <c r="AD128" s="42">
        <f>IF(AQ128="7",BH128,0)</f>
        <v>0</v>
      </c>
      <c r="AE128" s="42">
        <f>IF(AQ128="7",BI128,0)</f>
        <v>0</v>
      </c>
      <c r="AF128" s="42">
        <f>IF(AQ128="2",BH128,0)</f>
        <v>0</v>
      </c>
      <c r="AG128" s="42">
        <f>IF(AQ128="2",BI128,0)</f>
        <v>0</v>
      </c>
      <c r="AH128" s="42">
        <f>IF(AQ128="0",BJ128,0)</f>
        <v>0</v>
      </c>
      <c r="AI128" s="41"/>
      <c r="AJ128" s="24">
        <f>IF(AN128=0,L128,0)</f>
        <v>0</v>
      </c>
      <c r="AK128" s="24">
        <f>IF(AN128=15,L128,0)</f>
        <v>0</v>
      </c>
      <c r="AL128" s="24">
        <f>IF(AN128=21,L128,0)</f>
        <v>0</v>
      </c>
      <c r="AN128" s="42">
        <v>15</v>
      </c>
      <c r="AO128" s="42">
        <f>I128*0.0578034682080925</f>
        <v>0</v>
      </c>
      <c r="AP128" s="42">
        <f>I128*(1-0.0578034682080925)</f>
        <v>0</v>
      </c>
      <c r="AQ128" s="43" t="s">
        <v>13</v>
      </c>
      <c r="AV128" s="42">
        <f>AW128+AX128</f>
        <v>0</v>
      </c>
      <c r="AW128" s="42">
        <f>H128*AO128</f>
        <v>0</v>
      </c>
      <c r="AX128" s="42">
        <f>H128*AP128</f>
        <v>0</v>
      </c>
      <c r="AY128" s="45" t="s">
        <v>639</v>
      </c>
      <c r="AZ128" s="45" t="s">
        <v>660</v>
      </c>
      <c r="BA128" s="41" t="s">
        <v>664</v>
      </c>
      <c r="BC128" s="42">
        <f>AW128+AX128</f>
        <v>0</v>
      </c>
      <c r="BD128" s="42">
        <f>I128/(100-BE128)*100</f>
        <v>0</v>
      </c>
      <c r="BE128" s="42">
        <v>0</v>
      </c>
      <c r="BF128" s="42">
        <f>126</f>
        <v>126</v>
      </c>
      <c r="BH128" s="24">
        <f>H128*AO128</f>
        <v>0</v>
      </c>
      <c r="BI128" s="24">
        <f>H128*AP128</f>
        <v>0</v>
      </c>
      <c r="BJ128" s="24">
        <f>H128*I128</f>
        <v>0</v>
      </c>
      <c r="BK128" s="24" t="s">
        <v>669</v>
      </c>
      <c r="BL128" s="42">
        <v>762</v>
      </c>
    </row>
    <row r="129" spans="1:64" x14ac:dyDescent="0.25">
      <c r="A129" s="5"/>
      <c r="C129" s="18" t="s">
        <v>432</v>
      </c>
      <c r="F129" s="20"/>
      <c r="H129" s="79">
        <v>24.15</v>
      </c>
      <c r="M129" s="36"/>
      <c r="N129" s="5"/>
    </row>
    <row r="130" spans="1:64" x14ac:dyDescent="0.25">
      <c r="A130" s="7" t="s">
        <v>71</v>
      </c>
      <c r="B130" s="16" t="s">
        <v>224</v>
      </c>
      <c r="C130" s="143" t="s">
        <v>433</v>
      </c>
      <c r="D130" s="144"/>
      <c r="E130" s="144"/>
      <c r="F130" s="144"/>
      <c r="G130" s="16" t="s">
        <v>596</v>
      </c>
      <c r="H130" s="80">
        <v>9.6000000000000002E-2</v>
      </c>
      <c r="I130" s="25">
        <v>0</v>
      </c>
      <c r="J130" s="25">
        <f>H130*AO130</f>
        <v>0</v>
      </c>
      <c r="K130" s="25">
        <f>H130*AP130</f>
        <v>0</v>
      </c>
      <c r="L130" s="25">
        <f>H130*I130</f>
        <v>0</v>
      </c>
      <c r="M130" s="38" t="s">
        <v>616</v>
      </c>
      <c r="N130" s="5"/>
      <c r="Z130" s="42">
        <f>IF(AQ130="5",BJ130,0)</f>
        <v>0</v>
      </c>
      <c r="AB130" s="42">
        <f>IF(AQ130="1",BH130,0)</f>
        <v>0</v>
      </c>
      <c r="AC130" s="42">
        <f>IF(AQ130="1",BI130,0)</f>
        <v>0</v>
      </c>
      <c r="AD130" s="42">
        <f>IF(AQ130="7",BH130,0)</f>
        <v>0</v>
      </c>
      <c r="AE130" s="42">
        <f>IF(AQ130="7",BI130,0)</f>
        <v>0</v>
      </c>
      <c r="AF130" s="42">
        <f>IF(AQ130="2",BH130,0)</f>
        <v>0</v>
      </c>
      <c r="AG130" s="42">
        <f>IF(AQ130="2",BI130,0)</f>
        <v>0</v>
      </c>
      <c r="AH130" s="42">
        <f>IF(AQ130="0",BJ130,0)</f>
        <v>0</v>
      </c>
      <c r="AI130" s="41"/>
      <c r="AJ130" s="25">
        <f>IF(AN130=0,L130,0)</f>
        <v>0</v>
      </c>
      <c r="AK130" s="25">
        <f>IF(AN130=15,L130,0)</f>
        <v>0</v>
      </c>
      <c r="AL130" s="25">
        <f>IF(AN130=21,L130,0)</f>
        <v>0</v>
      </c>
      <c r="AN130" s="42">
        <v>15</v>
      </c>
      <c r="AO130" s="42">
        <f>I130*1</f>
        <v>0</v>
      </c>
      <c r="AP130" s="42">
        <f>I130*(1-1)</f>
        <v>0</v>
      </c>
      <c r="AQ130" s="44" t="s">
        <v>13</v>
      </c>
      <c r="AV130" s="42">
        <f>AW130+AX130</f>
        <v>0</v>
      </c>
      <c r="AW130" s="42">
        <f>H130*AO130</f>
        <v>0</v>
      </c>
      <c r="AX130" s="42">
        <f>H130*AP130</f>
        <v>0</v>
      </c>
      <c r="AY130" s="45" t="s">
        <v>639</v>
      </c>
      <c r="AZ130" s="45" t="s">
        <v>660</v>
      </c>
      <c r="BA130" s="41" t="s">
        <v>664</v>
      </c>
      <c r="BC130" s="42">
        <f>AW130+AX130</f>
        <v>0</v>
      </c>
      <c r="BD130" s="42">
        <f>I130/(100-BE130)*100</f>
        <v>0</v>
      </c>
      <c r="BE130" s="42">
        <v>0</v>
      </c>
      <c r="BF130" s="42">
        <f>128</f>
        <v>128</v>
      </c>
      <c r="BH130" s="25">
        <f>H130*AO130</f>
        <v>0</v>
      </c>
      <c r="BI130" s="25">
        <f>H130*AP130</f>
        <v>0</v>
      </c>
      <c r="BJ130" s="25">
        <f>H130*I130</f>
        <v>0</v>
      </c>
      <c r="BK130" s="25" t="s">
        <v>670</v>
      </c>
      <c r="BL130" s="42">
        <v>762</v>
      </c>
    </row>
    <row r="131" spans="1:64" x14ac:dyDescent="0.25">
      <c r="A131" s="5"/>
      <c r="C131" s="18" t="s">
        <v>434</v>
      </c>
      <c r="F131" s="20"/>
      <c r="H131" s="79">
        <v>9.6000000000000002E-2</v>
      </c>
      <c r="M131" s="36"/>
      <c r="N131" s="5"/>
    </row>
    <row r="132" spans="1:64" x14ac:dyDescent="0.25">
      <c r="A132" s="4" t="s">
        <v>72</v>
      </c>
      <c r="B132" s="14" t="s">
        <v>225</v>
      </c>
      <c r="C132" s="136" t="s">
        <v>435</v>
      </c>
      <c r="D132" s="137"/>
      <c r="E132" s="137"/>
      <c r="F132" s="137"/>
      <c r="G132" s="14" t="s">
        <v>599</v>
      </c>
      <c r="H132" s="78">
        <v>6.7</v>
      </c>
      <c r="I132" s="24">
        <v>0</v>
      </c>
      <c r="J132" s="24">
        <f>H132*AO132</f>
        <v>0</v>
      </c>
      <c r="K132" s="24">
        <f>H132*AP132</f>
        <v>0</v>
      </c>
      <c r="L132" s="24">
        <f>H132*I132</f>
        <v>0</v>
      </c>
      <c r="M132" s="35" t="s">
        <v>616</v>
      </c>
      <c r="N132" s="5"/>
      <c r="Z132" s="42">
        <f>IF(AQ132="5",BJ132,0)</f>
        <v>0</v>
      </c>
      <c r="AB132" s="42">
        <f>IF(AQ132="1",BH132,0)</f>
        <v>0</v>
      </c>
      <c r="AC132" s="42">
        <f>IF(AQ132="1",BI132,0)</f>
        <v>0</v>
      </c>
      <c r="AD132" s="42">
        <f>IF(AQ132="7",BH132,0)</f>
        <v>0</v>
      </c>
      <c r="AE132" s="42">
        <f>IF(AQ132="7",BI132,0)</f>
        <v>0</v>
      </c>
      <c r="AF132" s="42">
        <f>IF(AQ132="2",BH132,0)</f>
        <v>0</v>
      </c>
      <c r="AG132" s="42">
        <f>IF(AQ132="2",BI132,0)</f>
        <v>0</v>
      </c>
      <c r="AH132" s="42">
        <f>IF(AQ132="0",BJ132,0)</f>
        <v>0</v>
      </c>
      <c r="AI132" s="41"/>
      <c r="AJ132" s="24">
        <f>IF(AN132=0,L132,0)</f>
        <v>0</v>
      </c>
      <c r="AK132" s="24">
        <f>IF(AN132=15,L132,0)</f>
        <v>0</v>
      </c>
      <c r="AL132" s="24">
        <f>IF(AN132=21,L132,0)</f>
        <v>0</v>
      </c>
      <c r="AN132" s="42">
        <v>15</v>
      </c>
      <c r="AO132" s="42">
        <f>I132*0</f>
        <v>0</v>
      </c>
      <c r="AP132" s="42">
        <f>I132*(1-0)</f>
        <v>0</v>
      </c>
      <c r="AQ132" s="43" t="s">
        <v>11</v>
      </c>
      <c r="AV132" s="42">
        <f>AW132+AX132</f>
        <v>0</v>
      </c>
      <c r="AW132" s="42">
        <f>H132*AO132</f>
        <v>0</v>
      </c>
      <c r="AX132" s="42">
        <f>H132*AP132</f>
        <v>0</v>
      </c>
      <c r="AY132" s="45" t="s">
        <v>639</v>
      </c>
      <c r="AZ132" s="45" t="s">
        <v>660</v>
      </c>
      <c r="BA132" s="41" t="s">
        <v>664</v>
      </c>
      <c r="BC132" s="42">
        <f>AW132+AX132</f>
        <v>0</v>
      </c>
      <c r="BD132" s="42">
        <f>I132/(100-BE132)*100</f>
        <v>0</v>
      </c>
      <c r="BE132" s="42">
        <v>0</v>
      </c>
      <c r="BF132" s="42">
        <f>130</f>
        <v>130</v>
      </c>
      <c r="BH132" s="24">
        <f>H132*AO132</f>
        <v>0</v>
      </c>
      <c r="BI132" s="24">
        <f>H132*AP132</f>
        <v>0</v>
      </c>
      <c r="BJ132" s="24">
        <f>H132*I132</f>
        <v>0</v>
      </c>
      <c r="BK132" s="24" t="s">
        <v>669</v>
      </c>
      <c r="BL132" s="42">
        <v>762</v>
      </c>
    </row>
    <row r="133" spans="1:64" x14ac:dyDescent="0.25">
      <c r="A133" s="6"/>
      <c r="B133" s="15" t="s">
        <v>226</v>
      </c>
      <c r="C133" s="141" t="s">
        <v>436</v>
      </c>
      <c r="D133" s="142"/>
      <c r="E133" s="142"/>
      <c r="F133" s="142"/>
      <c r="G133" s="22" t="s">
        <v>6</v>
      </c>
      <c r="H133" s="22" t="s">
        <v>6</v>
      </c>
      <c r="I133" s="22" t="s">
        <v>6</v>
      </c>
      <c r="J133" s="48">
        <f>SUM(J134:J140)</f>
        <v>0</v>
      </c>
      <c r="K133" s="48">
        <f>SUM(K134:K140)</f>
        <v>0</v>
      </c>
      <c r="L133" s="48">
        <f>SUM(L134:L140)</f>
        <v>0</v>
      </c>
      <c r="M133" s="37"/>
      <c r="N133" s="5"/>
      <c r="AI133" s="41"/>
      <c r="AS133" s="48">
        <f>SUM(AJ134:AJ140)</f>
        <v>0</v>
      </c>
      <c r="AT133" s="48">
        <f>SUM(AK134:AK140)</f>
        <v>0</v>
      </c>
      <c r="AU133" s="48">
        <f>SUM(AL134:AL140)</f>
        <v>0</v>
      </c>
    </row>
    <row r="134" spans="1:64" x14ac:dyDescent="0.25">
      <c r="A134" s="4" t="s">
        <v>73</v>
      </c>
      <c r="B134" s="14" t="s">
        <v>227</v>
      </c>
      <c r="C134" s="136" t="s">
        <v>437</v>
      </c>
      <c r="D134" s="137"/>
      <c r="E134" s="137"/>
      <c r="F134" s="137"/>
      <c r="G134" s="14" t="s">
        <v>597</v>
      </c>
      <c r="H134" s="78">
        <v>4</v>
      </c>
      <c r="I134" s="24">
        <v>0</v>
      </c>
      <c r="J134" s="24">
        <f>H134*AO134</f>
        <v>0</v>
      </c>
      <c r="K134" s="24">
        <f>H134*AP134</f>
        <v>0</v>
      </c>
      <c r="L134" s="24">
        <f>H134*I134</f>
        <v>0</v>
      </c>
      <c r="M134" s="35" t="s">
        <v>616</v>
      </c>
      <c r="N134" s="5"/>
      <c r="Z134" s="42">
        <f>IF(AQ134="5",BJ134,0)</f>
        <v>0</v>
      </c>
      <c r="AB134" s="42">
        <f>IF(AQ134="1",BH134,0)</f>
        <v>0</v>
      </c>
      <c r="AC134" s="42">
        <f>IF(AQ134="1",BI134,0)</f>
        <v>0</v>
      </c>
      <c r="AD134" s="42">
        <f>IF(AQ134="7",BH134,0)</f>
        <v>0</v>
      </c>
      <c r="AE134" s="42">
        <f>IF(AQ134="7",BI134,0)</f>
        <v>0</v>
      </c>
      <c r="AF134" s="42">
        <f>IF(AQ134="2",BH134,0)</f>
        <v>0</v>
      </c>
      <c r="AG134" s="42">
        <f>IF(AQ134="2",BI134,0)</f>
        <v>0</v>
      </c>
      <c r="AH134" s="42">
        <f>IF(AQ134="0",BJ134,0)</f>
        <v>0</v>
      </c>
      <c r="AI134" s="41"/>
      <c r="AJ134" s="24">
        <f>IF(AN134=0,L134,0)</f>
        <v>0</v>
      </c>
      <c r="AK134" s="24">
        <f>IF(AN134=15,L134,0)</f>
        <v>0</v>
      </c>
      <c r="AL134" s="24">
        <f>IF(AN134=21,L134,0)</f>
        <v>0</v>
      </c>
      <c r="AN134" s="42">
        <v>15</v>
      </c>
      <c r="AO134" s="42">
        <f>I134*0.296482212654511</f>
        <v>0</v>
      </c>
      <c r="AP134" s="42">
        <f>I134*(1-0.296482212654511)</f>
        <v>0</v>
      </c>
      <c r="AQ134" s="43" t="s">
        <v>13</v>
      </c>
      <c r="AV134" s="42">
        <f>AW134+AX134</f>
        <v>0</v>
      </c>
      <c r="AW134" s="42">
        <f>H134*AO134</f>
        <v>0</v>
      </c>
      <c r="AX134" s="42">
        <f>H134*AP134</f>
        <v>0</v>
      </c>
      <c r="AY134" s="45" t="s">
        <v>640</v>
      </c>
      <c r="AZ134" s="45" t="s">
        <v>660</v>
      </c>
      <c r="BA134" s="41" t="s">
        <v>664</v>
      </c>
      <c r="BC134" s="42">
        <f>AW134+AX134</f>
        <v>0</v>
      </c>
      <c r="BD134" s="42">
        <f>I134/(100-BE134)*100</f>
        <v>0</v>
      </c>
      <c r="BE134" s="42">
        <v>0</v>
      </c>
      <c r="BF134" s="42">
        <f>132</f>
        <v>132</v>
      </c>
      <c r="BH134" s="24">
        <f>H134*AO134</f>
        <v>0</v>
      </c>
      <c r="BI134" s="24">
        <f>H134*AP134</f>
        <v>0</v>
      </c>
      <c r="BJ134" s="24">
        <f>H134*I134</f>
        <v>0</v>
      </c>
      <c r="BK134" s="24" t="s">
        <v>669</v>
      </c>
      <c r="BL134" s="42">
        <v>764</v>
      </c>
    </row>
    <row r="135" spans="1:64" x14ac:dyDescent="0.25">
      <c r="A135" s="5"/>
      <c r="C135" s="18" t="s">
        <v>438</v>
      </c>
      <c r="F135" s="20"/>
      <c r="H135" s="79">
        <v>4</v>
      </c>
      <c r="M135" s="36"/>
      <c r="N135" s="5"/>
    </row>
    <row r="136" spans="1:64" x14ac:dyDescent="0.25">
      <c r="A136" s="4" t="s">
        <v>74</v>
      </c>
      <c r="B136" s="14" t="s">
        <v>228</v>
      </c>
      <c r="C136" s="136" t="s">
        <v>439</v>
      </c>
      <c r="D136" s="137"/>
      <c r="E136" s="137"/>
      <c r="F136" s="137"/>
      <c r="G136" s="14" t="s">
        <v>597</v>
      </c>
      <c r="H136" s="78">
        <v>1.25</v>
      </c>
      <c r="I136" s="24">
        <v>0</v>
      </c>
      <c r="J136" s="24">
        <f>H136*AO136</f>
        <v>0</v>
      </c>
      <c r="K136" s="24">
        <f>H136*AP136</f>
        <v>0</v>
      </c>
      <c r="L136" s="24">
        <f>H136*I136</f>
        <v>0</v>
      </c>
      <c r="M136" s="35" t="s">
        <v>616</v>
      </c>
      <c r="N136" s="5"/>
      <c r="Z136" s="42">
        <f>IF(AQ136="5",BJ136,0)</f>
        <v>0</v>
      </c>
      <c r="AB136" s="42">
        <f>IF(AQ136="1",BH136,0)</f>
        <v>0</v>
      </c>
      <c r="AC136" s="42">
        <f>IF(AQ136="1",BI136,0)</f>
        <v>0</v>
      </c>
      <c r="AD136" s="42">
        <f>IF(AQ136="7",BH136,0)</f>
        <v>0</v>
      </c>
      <c r="AE136" s="42">
        <f>IF(AQ136="7",BI136,0)</f>
        <v>0</v>
      </c>
      <c r="AF136" s="42">
        <f>IF(AQ136="2",BH136,0)</f>
        <v>0</v>
      </c>
      <c r="AG136" s="42">
        <f>IF(AQ136="2",BI136,0)</f>
        <v>0</v>
      </c>
      <c r="AH136" s="42">
        <f>IF(AQ136="0",BJ136,0)</f>
        <v>0</v>
      </c>
      <c r="AI136" s="41"/>
      <c r="AJ136" s="24">
        <f>IF(AN136=0,L136,0)</f>
        <v>0</v>
      </c>
      <c r="AK136" s="24">
        <f>IF(AN136=15,L136,0)</f>
        <v>0</v>
      </c>
      <c r="AL136" s="24">
        <f>IF(AN136=21,L136,0)</f>
        <v>0</v>
      </c>
      <c r="AN136" s="42">
        <v>15</v>
      </c>
      <c r="AO136" s="42">
        <f>I136*0.34536496350365</f>
        <v>0</v>
      </c>
      <c r="AP136" s="42">
        <f>I136*(1-0.34536496350365)</f>
        <v>0</v>
      </c>
      <c r="AQ136" s="43" t="s">
        <v>13</v>
      </c>
      <c r="AV136" s="42">
        <f>AW136+AX136</f>
        <v>0</v>
      </c>
      <c r="AW136" s="42">
        <f>H136*AO136</f>
        <v>0</v>
      </c>
      <c r="AX136" s="42">
        <f>H136*AP136</f>
        <v>0</v>
      </c>
      <c r="AY136" s="45" t="s">
        <v>640</v>
      </c>
      <c r="AZ136" s="45" t="s">
        <v>660</v>
      </c>
      <c r="BA136" s="41" t="s">
        <v>664</v>
      </c>
      <c r="BC136" s="42">
        <f>AW136+AX136</f>
        <v>0</v>
      </c>
      <c r="BD136" s="42">
        <f>I136/(100-BE136)*100</f>
        <v>0</v>
      </c>
      <c r="BE136" s="42">
        <v>0</v>
      </c>
      <c r="BF136" s="42">
        <f>134</f>
        <v>134</v>
      </c>
      <c r="BH136" s="24">
        <f>H136*AO136</f>
        <v>0</v>
      </c>
      <c r="BI136" s="24">
        <f>H136*AP136</f>
        <v>0</v>
      </c>
      <c r="BJ136" s="24">
        <f>H136*I136</f>
        <v>0</v>
      </c>
      <c r="BK136" s="24" t="s">
        <v>669</v>
      </c>
      <c r="BL136" s="42">
        <v>764</v>
      </c>
    </row>
    <row r="137" spans="1:64" x14ac:dyDescent="0.25">
      <c r="A137" s="5"/>
      <c r="C137" s="18" t="s">
        <v>440</v>
      </c>
      <c r="F137" s="20"/>
      <c r="H137" s="79">
        <v>1.25</v>
      </c>
      <c r="M137" s="36"/>
      <c r="N137" s="5"/>
    </row>
    <row r="138" spans="1:64" x14ac:dyDescent="0.25">
      <c r="A138" s="4" t="s">
        <v>75</v>
      </c>
      <c r="B138" s="14" t="s">
        <v>229</v>
      </c>
      <c r="C138" s="136" t="s">
        <v>441</v>
      </c>
      <c r="D138" s="137"/>
      <c r="E138" s="137"/>
      <c r="F138" s="137"/>
      <c r="G138" s="14" t="s">
        <v>597</v>
      </c>
      <c r="H138" s="78">
        <v>10</v>
      </c>
      <c r="I138" s="24">
        <v>0</v>
      </c>
      <c r="J138" s="24">
        <f>H138*AO138</f>
        <v>0</v>
      </c>
      <c r="K138" s="24">
        <f>H138*AP138</f>
        <v>0</v>
      </c>
      <c r="L138" s="24">
        <f>H138*I138</f>
        <v>0</v>
      </c>
      <c r="M138" s="35" t="s">
        <v>616</v>
      </c>
      <c r="N138" s="5"/>
      <c r="Z138" s="42">
        <f>IF(AQ138="5",BJ138,0)</f>
        <v>0</v>
      </c>
      <c r="AB138" s="42">
        <f>IF(AQ138="1",BH138,0)</f>
        <v>0</v>
      </c>
      <c r="AC138" s="42">
        <f>IF(AQ138="1",BI138,0)</f>
        <v>0</v>
      </c>
      <c r="AD138" s="42">
        <f>IF(AQ138="7",BH138,0)</f>
        <v>0</v>
      </c>
      <c r="AE138" s="42">
        <f>IF(AQ138="7",BI138,0)</f>
        <v>0</v>
      </c>
      <c r="AF138" s="42">
        <f>IF(AQ138="2",BH138,0)</f>
        <v>0</v>
      </c>
      <c r="AG138" s="42">
        <f>IF(AQ138="2",BI138,0)</f>
        <v>0</v>
      </c>
      <c r="AH138" s="42">
        <f>IF(AQ138="0",BJ138,0)</f>
        <v>0</v>
      </c>
      <c r="AI138" s="41"/>
      <c r="AJ138" s="24">
        <f>IF(AN138=0,L138,0)</f>
        <v>0</v>
      </c>
      <c r="AK138" s="24">
        <f>IF(AN138=15,L138,0)</f>
        <v>0</v>
      </c>
      <c r="AL138" s="24">
        <f>IF(AN138=21,L138,0)</f>
        <v>0</v>
      </c>
      <c r="AN138" s="42">
        <v>15</v>
      </c>
      <c r="AO138" s="42">
        <f>I138*0.675579268292683</f>
        <v>0</v>
      </c>
      <c r="AP138" s="42">
        <f>I138*(1-0.675579268292683)</f>
        <v>0</v>
      </c>
      <c r="AQ138" s="43" t="s">
        <v>13</v>
      </c>
      <c r="AV138" s="42">
        <f>AW138+AX138</f>
        <v>0</v>
      </c>
      <c r="AW138" s="42">
        <f>H138*AO138</f>
        <v>0</v>
      </c>
      <c r="AX138" s="42">
        <f>H138*AP138</f>
        <v>0</v>
      </c>
      <c r="AY138" s="45" t="s">
        <v>640</v>
      </c>
      <c r="AZ138" s="45" t="s">
        <v>660</v>
      </c>
      <c r="BA138" s="41" t="s">
        <v>664</v>
      </c>
      <c r="BC138" s="42">
        <f>AW138+AX138</f>
        <v>0</v>
      </c>
      <c r="BD138" s="42">
        <f>I138/(100-BE138)*100</f>
        <v>0</v>
      </c>
      <c r="BE138" s="42">
        <v>0</v>
      </c>
      <c r="BF138" s="42">
        <f>136</f>
        <v>136</v>
      </c>
      <c r="BH138" s="24">
        <f>H138*AO138</f>
        <v>0</v>
      </c>
      <c r="BI138" s="24">
        <f>H138*AP138</f>
        <v>0</v>
      </c>
      <c r="BJ138" s="24">
        <f>H138*I138</f>
        <v>0</v>
      </c>
      <c r="BK138" s="24" t="s">
        <v>669</v>
      </c>
      <c r="BL138" s="42">
        <v>764</v>
      </c>
    </row>
    <row r="139" spans="1:64" x14ac:dyDescent="0.25">
      <c r="A139" s="5"/>
      <c r="C139" s="18" t="s">
        <v>442</v>
      </c>
      <c r="F139" s="20"/>
      <c r="H139" s="79">
        <v>10</v>
      </c>
      <c r="M139" s="36"/>
      <c r="N139" s="5"/>
    </row>
    <row r="140" spans="1:64" x14ac:dyDescent="0.25">
      <c r="A140" s="4" t="s">
        <v>76</v>
      </c>
      <c r="B140" s="14" t="s">
        <v>230</v>
      </c>
      <c r="C140" s="136" t="s">
        <v>443</v>
      </c>
      <c r="D140" s="137"/>
      <c r="E140" s="137"/>
      <c r="F140" s="137"/>
      <c r="G140" s="14" t="s">
        <v>599</v>
      </c>
      <c r="H140" s="78">
        <v>2.04</v>
      </c>
      <c r="I140" s="24">
        <v>0</v>
      </c>
      <c r="J140" s="24">
        <f>H140*AO140</f>
        <v>0</v>
      </c>
      <c r="K140" s="24">
        <f>H140*AP140</f>
        <v>0</v>
      </c>
      <c r="L140" s="24">
        <f>H140*I140</f>
        <v>0</v>
      </c>
      <c r="M140" s="35" t="s">
        <v>616</v>
      </c>
      <c r="N140" s="5"/>
      <c r="Z140" s="42">
        <f>IF(AQ140="5",BJ140,0)</f>
        <v>0</v>
      </c>
      <c r="AB140" s="42">
        <f>IF(AQ140="1",BH140,0)</f>
        <v>0</v>
      </c>
      <c r="AC140" s="42">
        <f>IF(AQ140="1",BI140,0)</f>
        <v>0</v>
      </c>
      <c r="AD140" s="42">
        <f>IF(AQ140="7",BH140,0)</f>
        <v>0</v>
      </c>
      <c r="AE140" s="42">
        <f>IF(AQ140="7",BI140,0)</f>
        <v>0</v>
      </c>
      <c r="AF140" s="42">
        <f>IF(AQ140="2",BH140,0)</f>
        <v>0</v>
      </c>
      <c r="AG140" s="42">
        <f>IF(AQ140="2",BI140,0)</f>
        <v>0</v>
      </c>
      <c r="AH140" s="42">
        <f>IF(AQ140="0",BJ140,0)</f>
        <v>0</v>
      </c>
      <c r="AI140" s="41"/>
      <c r="AJ140" s="24">
        <f>IF(AN140=0,L140,0)</f>
        <v>0</v>
      </c>
      <c r="AK140" s="24">
        <f>IF(AN140=15,L140,0)</f>
        <v>0</v>
      </c>
      <c r="AL140" s="24">
        <f>IF(AN140=21,L140,0)</f>
        <v>0</v>
      </c>
      <c r="AN140" s="42">
        <v>15</v>
      </c>
      <c r="AO140" s="42">
        <f>I140*0</f>
        <v>0</v>
      </c>
      <c r="AP140" s="42">
        <f>I140*(1-0)</f>
        <v>0</v>
      </c>
      <c r="AQ140" s="43" t="s">
        <v>11</v>
      </c>
      <c r="AV140" s="42">
        <f>AW140+AX140</f>
        <v>0</v>
      </c>
      <c r="AW140" s="42">
        <f>H140*AO140</f>
        <v>0</v>
      </c>
      <c r="AX140" s="42">
        <f>H140*AP140</f>
        <v>0</v>
      </c>
      <c r="AY140" s="45" t="s">
        <v>640</v>
      </c>
      <c r="AZ140" s="45" t="s">
        <v>660</v>
      </c>
      <c r="BA140" s="41" t="s">
        <v>664</v>
      </c>
      <c r="BC140" s="42">
        <f>AW140+AX140</f>
        <v>0</v>
      </c>
      <c r="BD140" s="42">
        <f>I140/(100-BE140)*100</f>
        <v>0</v>
      </c>
      <c r="BE140" s="42">
        <v>0</v>
      </c>
      <c r="BF140" s="42">
        <f>138</f>
        <v>138</v>
      </c>
      <c r="BH140" s="24">
        <f>H140*AO140</f>
        <v>0</v>
      </c>
      <c r="BI140" s="24">
        <f>H140*AP140</f>
        <v>0</v>
      </c>
      <c r="BJ140" s="24">
        <f>H140*I140</f>
        <v>0</v>
      </c>
      <c r="BK140" s="24" t="s">
        <v>669</v>
      </c>
      <c r="BL140" s="42">
        <v>764</v>
      </c>
    </row>
    <row r="141" spans="1:64" x14ac:dyDescent="0.25">
      <c r="A141" s="6"/>
      <c r="B141" s="15" t="s">
        <v>231</v>
      </c>
      <c r="C141" s="141" t="s">
        <v>444</v>
      </c>
      <c r="D141" s="142"/>
      <c r="E141" s="142"/>
      <c r="F141" s="142"/>
      <c r="G141" s="22" t="s">
        <v>6</v>
      </c>
      <c r="H141" s="22" t="s">
        <v>6</v>
      </c>
      <c r="I141" s="22" t="s">
        <v>6</v>
      </c>
      <c r="J141" s="48">
        <f>SUM(J142:J163)</f>
        <v>0</v>
      </c>
      <c r="K141" s="48">
        <f>SUM(K142:K163)</f>
        <v>0</v>
      </c>
      <c r="L141" s="48">
        <f>SUM(L142:L163)</f>
        <v>0</v>
      </c>
      <c r="M141" s="37"/>
      <c r="N141" s="5"/>
      <c r="AI141" s="41"/>
      <c r="AS141" s="48">
        <f>SUM(AJ142:AJ163)</f>
        <v>0</v>
      </c>
      <c r="AT141" s="48">
        <f>SUM(AK142:AK163)</f>
        <v>0</v>
      </c>
      <c r="AU141" s="48">
        <f>SUM(AL142:AL163)</f>
        <v>0</v>
      </c>
    </row>
    <row r="142" spans="1:64" x14ac:dyDescent="0.25">
      <c r="A142" s="4" t="s">
        <v>77</v>
      </c>
      <c r="B142" s="14" t="s">
        <v>232</v>
      </c>
      <c r="C142" s="136" t="s">
        <v>445</v>
      </c>
      <c r="D142" s="137"/>
      <c r="E142" s="137"/>
      <c r="F142" s="137"/>
      <c r="G142" s="14" t="s">
        <v>598</v>
      </c>
      <c r="H142" s="78">
        <v>1</v>
      </c>
      <c r="I142" s="24">
        <v>0</v>
      </c>
      <c r="J142" s="24">
        <f>H142*AO142</f>
        <v>0</v>
      </c>
      <c r="K142" s="24">
        <f>H142*AP142</f>
        <v>0</v>
      </c>
      <c r="L142" s="24">
        <f>H142*I142</f>
        <v>0</v>
      </c>
      <c r="M142" s="35" t="s">
        <v>616</v>
      </c>
      <c r="N142" s="5"/>
      <c r="Z142" s="42">
        <f>IF(AQ142="5",BJ142,0)</f>
        <v>0</v>
      </c>
      <c r="AB142" s="42">
        <f>IF(AQ142="1",BH142,0)</f>
        <v>0</v>
      </c>
      <c r="AC142" s="42">
        <f>IF(AQ142="1",BI142,0)</f>
        <v>0</v>
      </c>
      <c r="AD142" s="42">
        <f>IF(AQ142="7",BH142,0)</f>
        <v>0</v>
      </c>
      <c r="AE142" s="42">
        <f>IF(AQ142="7",BI142,0)</f>
        <v>0</v>
      </c>
      <c r="AF142" s="42">
        <f>IF(AQ142="2",BH142,0)</f>
        <v>0</v>
      </c>
      <c r="AG142" s="42">
        <f>IF(AQ142="2",BI142,0)</f>
        <v>0</v>
      </c>
      <c r="AH142" s="42">
        <f>IF(AQ142="0",BJ142,0)</f>
        <v>0</v>
      </c>
      <c r="AI142" s="41"/>
      <c r="AJ142" s="24">
        <f>IF(AN142=0,L142,0)</f>
        <v>0</v>
      </c>
      <c r="AK142" s="24">
        <f>IF(AN142=15,L142,0)</f>
        <v>0</v>
      </c>
      <c r="AL142" s="24">
        <f>IF(AN142=21,L142,0)</f>
        <v>0</v>
      </c>
      <c r="AN142" s="42">
        <v>15</v>
      </c>
      <c r="AO142" s="42">
        <f>I142*0</f>
        <v>0</v>
      </c>
      <c r="AP142" s="42">
        <f>I142*(1-0)</f>
        <v>0</v>
      </c>
      <c r="AQ142" s="43" t="s">
        <v>13</v>
      </c>
      <c r="AV142" s="42">
        <f>AW142+AX142</f>
        <v>0</v>
      </c>
      <c r="AW142" s="42">
        <f>H142*AO142</f>
        <v>0</v>
      </c>
      <c r="AX142" s="42">
        <f>H142*AP142</f>
        <v>0</v>
      </c>
      <c r="AY142" s="45" t="s">
        <v>641</v>
      </c>
      <c r="AZ142" s="45" t="s">
        <v>660</v>
      </c>
      <c r="BA142" s="41" t="s">
        <v>664</v>
      </c>
      <c r="BC142" s="42">
        <f>AW142+AX142</f>
        <v>0</v>
      </c>
      <c r="BD142" s="42">
        <f>I142/(100-BE142)*100</f>
        <v>0</v>
      </c>
      <c r="BE142" s="42">
        <v>0</v>
      </c>
      <c r="BF142" s="42">
        <f>140</f>
        <v>140</v>
      </c>
      <c r="BH142" s="24">
        <f>H142*AO142</f>
        <v>0</v>
      </c>
      <c r="BI142" s="24">
        <f>H142*AP142</f>
        <v>0</v>
      </c>
      <c r="BJ142" s="24">
        <f>H142*I142</f>
        <v>0</v>
      </c>
      <c r="BK142" s="24" t="s">
        <v>669</v>
      </c>
      <c r="BL142" s="42">
        <v>766</v>
      </c>
    </row>
    <row r="143" spans="1:64" x14ac:dyDescent="0.25">
      <c r="A143" s="4" t="s">
        <v>78</v>
      </c>
      <c r="B143" s="14" t="s">
        <v>233</v>
      </c>
      <c r="C143" s="136" t="s">
        <v>446</v>
      </c>
      <c r="D143" s="137"/>
      <c r="E143" s="137"/>
      <c r="F143" s="137"/>
      <c r="G143" s="14" t="s">
        <v>598</v>
      </c>
      <c r="H143" s="78">
        <v>2</v>
      </c>
      <c r="I143" s="24">
        <v>0</v>
      </c>
      <c r="J143" s="24">
        <f>H143*AO143</f>
        <v>0</v>
      </c>
      <c r="K143" s="24">
        <f>H143*AP143</f>
        <v>0</v>
      </c>
      <c r="L143" s="24">
        <f>H143*I143</f>
        <v>0</v>
      </c>
      <c r="M143" s="35" t="s">
        <v>616</v>
      </c>
      <c r="N143" s="5"/>
      <c r="Z143" s="42">
        <f>IF(AQ143="5",BJ143,0)</f>
        <v>0</v>
      </c>
      <c r="AB143" s="42">
        <f>IF(AQ143="1",BH143,0)</f>
        <v>0</v>
      </c>
      <c r="AC143" s="42">
        <f>IF(AQ143="1",BI143,0)</f>
        <v>0</v>
      </c>
      <c r="AD143" s="42">
        <f>IF(AQ143="7",BH143,0)</f>
        <v>0</v>
      </c>
      <c r="AE143" s="42">
        <f>IF(AQ143="7",BI143,0)</f>
        <v>0</v>
      </c>
      <c r="AF143" s="42">
        <f>IF(AQ143="2",BH143,0)</f>
        <v>0</v>
      </c>
      <c r="AG143" s="42">
        <f>IF(AQ143="2",BI143,0)</f>
        <v>0</v>
      </c>
      <c r="AH143" s="42">
        <f>IF(AQ143="0",BJ143,0)</f>
        <v>0</v>
      </c>
      <c r="AI143" s="41"/>
      <c r="AJ143" s="24">
        <f>IF(AN143=0,L143,0)</f>
        <v>0</v>
      </c>
      <c r="AK143" s="24">
        <f>IF(AN143=15,L143,0)</f>
        <v>0</v>
      </c>
      <c r="AL143" s="24">
        <f>IF(AN143=21,L143,0)</f>
        <v>0</v>
      </c>
      <c r="AN143" s="42">
        <v>15</v>
      </c>
      <c r="AO143" s="42">
        <f>I143*0</f>
        <v>0</v>
      </c>
      <c r="AP143" s="42">
        <f>I143*(1-0)</f>
        <v>0</v>
      </c>
      <c r="AQ143" s="43" t="s">
        <v>13</v>
      </c>
      <c r="AV143" s="42">
        <f>AW143+AX143</f>
        <v>0</v>
      </c>
      <c r="AW143" s="42">
        <f>H143*AO143</f>
        <v>0</v>
      </c>
      <c r="AX143" s="42">
        <f>H143*AP143</f>
        <v>0</v>
      </c>
      <c r="AY143" s="45" t="s">
        <v>641</v>
      </c>
      <c r="AZ143" s="45" t="s">
        <v>660</v>
      </c>
      <c r="BA143" s="41" t="s">
        <v>664</v>
      </c>
      <c r="BC143" s="42">
        <f>AW143+AX143</f>
        <v>0</v>
      </c>
      <c r="BD143" s="42">
        <f>I143/(100-BE143)*100</f>
        <v>0</v>
      </c>
      <c r="BE143" s="42">
        <v>0</v>
      </c>
      <c r="BF143" s="42">
        <f>141</f>
        <v>141</v>
      </c>
      <c r="BH143" s="24">
        <f>H143*AO143</f>
        <v>0</v>
      </c>
      <c r="BI143" s="24">
        <f>H143*AP143</f>
        <v>0</v>
      </c>
      <c r="BJ143" s="24">
        <f>H143*I143</f>
        <v>0</v>
      </c>
      <c r="BK143" s="24" t="s">
        <v>669</v>
      </c>
      <c r="BL143" s="42">
        <v>766</v>
      </c>
    </row>
    <row r="144" spans="1:64" x14ac:dyDescent="0.25">
      <c r="A144" s="4" t="s">
        <v>79</v>
      </c>
      <c r="B144" s="14" t="s">
        <v>234</v>
      </c>
      <c r="C144" s="136" t="s">
        <v>447</v>
      </c>
      <c r="D144" s="137"/>
      <c r="E144" s="137"/>
      <c r="F144" s="137"/>
      <c r="G144" s="14" t="s">
        <v>598</v>
      </c>
      <c r="H144" s="78">
        <v>2</v>
      </c>
      <c r="I144" s="24">
        <v>0</v>
      </c>
      <c r="J144" s="24">
        <f>H144*AO144</f>
        <v>0</v>
      </c>
      <c r="K144" s="24">
        <f>H144*AP144</f>
        <v>0</v>
      </c>
      <c r="L144" s="24">
        <f>H144*I144</f>
        <v>0</v>
      </c>
      <c r="M144" s="35" t="s">
        <v>616</v>
      </c>
      <c r="N144" s="5"/>
      <c r="Z144" s="42">
        <f>IF(AQ144="5",BJ144,0)</f>
        <v>0</v>
      </c>
      <c r="AB144" s="42">
        <f>IF(AQ144="1",BH144,0)</f>
        <v>0</v>
      </c>
      <c r="AC144" s="42">
        <f>IF(AQ144="1",BI144,0)</f>
        <v>0</v>
      </c>
      <c r="AD144" s="42">
        <f>IF(AQ144="7",BH144,0)</f>
        <v>0</v>
      </c>
      <c r="AE144" s="42">
        <f>IF(AQ144="7",BI144,0)</f>
        <v>0</v>
      </c>
      <c r="AF144" s="42">
        <f>IF(AQ144="2",BH144,0)</f>
        <v>0</v>
      </c>
      <c r="AG144" s="42">
        <f>IF(AQ144="2",BI144,0)</f>
        <v>0</v>
      </c>
      <c r="AH144" s="42">
        <f>IF(AQ144="0",BJ144,0)</f>
        <v>0</v>
      </c>
      <c r="AI144" s="41"/>
      <c r="AJ144" s="24">
        <f>IF(AN144=0,L144,0)</f>
        <v>0</v>
      </c>
      <c r="AK144" s="24">
        <f>IF(AN144=15,L144,0)</f>
        <v>0</v>
      </c>
      <c r="AL144" s="24">
        <f>IF(AN144=21,L144,0)</f>
        <v>0</v>
      </c>
      <c r="AN144" s="42">
        <v>15</v>
      </c>
      <c r="AO144" s="42">
        <f>I144*0.00594192754490342</f>
        <v>0</v>
      </c>
      <c r="AP144" s="42">
        <f>I144*(1-0.00594192754490342)</f>
        <v>0</v>
      </c>
      <c r="AQ144" s="43" t="s">
        <v>13</v>
      </c>
      <c r="AV144" s="42">
        <f>AW144+AX144</f>
        <v>0</v>
      </c>
      <c r="AW144" s="42">
        <f>H144*AO144</f>
        <v>0</v>
      </c>
      <c r="AX144" s="42">
        <f>H144*AP144</f>
        <v>0</v>
      </c>
      <c r="AY144" s="45" t="s">
        <v>641</v>
      </c>
      <c r="AZ144" s="45" t="s">
        <v>660</v>
      </c>
      <c r="BA144" s="41" t="s">
        <v>664</v>
      </c>
      <c r="BC144" s="42">
        <f>AW144+AX144</f>
        <v>0</v>
      </c>
      <c r="BD144" s="42">
        <f>I144/(100-BE144)*100</f>
        <v>0</v>
      </c>
      <c r="BE144" s="42">
        <v>0</v>
      </c>
      <c r="BF144" s="42">
        <f>142</f>
        <v>142</v>
      </c>
      <c r="BH144" s="24">
        <f>H144*AO144</f>
        <v>0</v>
      </c>
      <c r="BI144" s="24">
        <f>H144*AP144</f>
        <v>0</v>
      </c>
      <c r="BJ144" s="24">
        <f>H144*I144</f>
        <v>0</v>
      </c>
      <c r="BK144" s="24" t="s">
        <v>669</v>
      </c>
      <c r="BL144" s="42">
        <v>766</v>
      </c>
    </row>
    <row r="145" spans="1:64" x14ac:dyDescent="0.25">
      <c r="A145" s="5"/>
      <c r="C145" s="18" t="s">
        <v>448</v>
      </c>
      <c r="F145" s="20"/>
      <c r="H145" s="79">
        <v>2</v>
      </c>
      <c r="M145" s="36"/>
      <c r="N145" s="5"/>
    </row>
    <row r="146" spans="1:64" x14ac:dyDescent="0.25">
      <c r="A146" s="7" t="s">
        <v>80</v>
      </c>
      <c r="B146" s="16" t="s">
        <v>235</v>
      </c>
      <c r="C146" s="143" t="s">
        <v>449</v>
      </c>
      <c r="D146" s="144"/>
      <c r="E146" s="144"/>
      <c r="F146" s="144"/>
      <c r="G146" s="16" t="s">
        <v>598</v>
      </c>
      <c r="H146" s="80">
        <v>1</v>
      </c>
      <c r="I146" s="25">
        <v>0</v>
      </c>
      <c r="J146" s="25">
        <f t="shared" ref="J146:J163" si="46">H146*AO146</f>
        <v>0</v>
      </c>
      <c r="K146" s="25">
        <f t="shared" ref="K146:K163" si="47">H146*AP146</f>
        <v>0</v>
      </c>
      <c r="L146" s="25">
        <f t="shared" ref="L146:L163" si="48">H146*I146</f>
        <v>0</v>
      </c>
      <c r="M146" s="38"/>
      <c r="N146" s="5"/>
      <c r="Z146" s="42">
        <f t="shared" ref="Z146:Z163" si="49">IF(AQ146="5",BJ146,0)</f>
        <v>0</v>
      </c>
      <c r="AB146" s="42">
        <f t="shared" ref="AB146:AB163" si="50">IF(AQ146="1",BH146,0)</f>
        <v>0</v>
      </c>
      <c r="AC146" s="42">
        <f t="shared" ref="AC146:AC163" si="51">IF(AQ146="1",BI146,0)</f>
        <v>0</v>
      </c>
      <c r="AD146" s="42">
        <f t="shared" ref="AD146:AD163" si="52">IF(AQ146="7",BH146,0)</f>
        <v>0</v>
      </c>
      <c r="AE146" s="42">
        <f t="shared" ref="AE146:AE163" si="53">IF(AQ146="7",BI146,0)</f>
        <v>0</v>
      </c>
      <c r="AF146" s="42">
        <f t="shared" ref="AF146:AF163" si="54">IF(AQ146="2",BH146,0)</f>
        <v>0</v>
      </c>
      <c r="AG146" s="42">
        <f t="shared" ref="AG146:AG163" si="55">IF(AQ146="2",BI146,0)</f>
        <v>0</v>
      </c>
      <c r="AH146" s="42">
        <f t="shared" ref="AH146:AH163" si="56">IF(AQ146="0",BJ146,0)</f>
        <v>0</v>
      </c>
      <c r="AI146" s="41"/>
      <c r="AJ146" s="25">
        <f t="shared" ref="AJ146:AJ163" si="57">IF(AN146=0,L146,0)</f>
        <v>0</v>
      </c>
      <c r="AK146" s="25">
        <f t="shared" ref="AK146:AK163" si="58">IF(AN146=15,L146,0)</f>
        <v>0</v>
      </c>
      <c r="AL146" s="25">
        <f t="shared" ref="AL146:AL163" si="59">IF(AN146=21,L146,0)</f>
        <v>0</v>
      </c>
      <c r="AN146" s="42">
        <v>15</v>
      </c>
      <c r="AO146" s="42">
        <f>I146*1</f>
        <v>0</v>
      </c>
      <c r="AP146" s="42">
        <f>I146*(1-1)</f>
        <v>0</v>
      </c>
      <c r="AQ146" s="44" t="s">
        <v>13</v>
      </c>
      <c r="AV146" s="42">
        <f t="shared" ref="AV146:AV163" si="60">AW146+AX146</f>
        <v>0</v>
      </c>
      <c r="AW146" s="42">
        <f t="shared" ref="AW146:AW163" si="61">H146*AO146</f>
        <v>0</v>
      </c>
      <c r="AX146" s="42">
        <f t="shared" ref="AX146:AX163" si="62">H146*AP146</f>
        <v>0</v>
      </c>
      <c r="AY146" s="45" t="s">
        <v>641</v>
      </c>
      <c r="AZ146" s="45" t="s">
        <v>660</v>
      </c>
      <c r="BA146" s="41" t="s">
        <v>664</v>
      </c>
      <c r="BC146" s="42">
        <f t="shared" ref="BC146:BC163" si="63">AW146+AX146</f>
        <v>0</v>
      </c>
      <c r="BD146" s="42">
        <f t="shared" ref="BD146:BD163" si="64">I146/(100-BE146)*100</f>
        <v>0</v>
      </c>
      <c r="BE146" s="42">
        <v>0</v>
      </c>
      <c r="BF146" s="42">
        <f>144</f>
        <v>144</v>
      </c>
      <c r="BH146" s="25">
        <f t="shared" ref="BH146:BH163" si="65">H146*AO146</f>
        <v>0</v>
      </c>
      <c r="BI146" s="25">
        <f t="shared" ref="BI146:BI163" si="66">H146*AP146</f>
        <v>0</v>
      </c>
      <c r="BJ146" s="25">
        <f t="shared" ref="BJ146:BJ163" si="67">H146*I146</f>
        <v>0</v>
      </c>
      <c r="BK146" s="25" t="s">
        <v>670</v>
      </c>
      <c r="BL146" s="42">
        <v>766</v>
      </c>
    </row>
    <row r="147" spans="1:64" x14ac:dyDescent="0.25">
      <c r="A147" s="7" t="s">
        <v>81</v>
      </c>
      <c r="B147" s="16" t="s">
        <v>236</v>
      </c>
      <c r="C147" s="143" t="s">
        <v>450</v>
      </c>
      <c r="D147" s="144"/>
      <c r="E147" s="144"/>
      <c r="F147" s="144"/>
      <c r="G147" s="16" t="s">
        <v>598</v>
      </c>
      <c r="H147" s="80">
        <v>1</v>
      </c>
      <c r="I147" s="25">
        <v>0</v>
      </c>
      <c r="J147" s="25">
        <f t="shared" si="46"/>
        <v>0</v>
      </c>
      <c r="K147" s="25">
        <f t="shared" si="47"/>
        <v>0</v>
      </c>
      <c r="L147" s="25">
        <f t="shared" si="48"/>
        <v>0</v>
      </c>
      <c r="M147" s="38"/>
      <c r="N147" s="5"/>
      <c r="Z147" s="42">
        <f t="shared" si="49"/>
        <v>0</v>
      </c>
      <c r="AB147" s="42">
        <f t="shared" si="50"/>
        <v>0</v>
      </c>
      <c r="AC147" s="42">
        <f t="shared" si="51"/>
        <v>0</v>
      </c>
      <c r="AD147" s="42">
        <f t="shared" si="52"/>
        <v>0</v>
      </c>
      <c r="AE147" s="42">
        <f t="shared" si="53"/>
        <v>0</v>
      </c>
      <c r="AF147" s="42">
        <f t="shared" si="54"/>
        <v>0</v>
      </c>
      <c r="AG147" s="42">
        <f t="shared" si="55"/>
        <v>0</v>
      </c>
      <c r="AH147" s="42">
        <f t="shared" si="56"/>
        <v>0</v>
      </c>
      <c r="AI147" s="41"/>
      <c r="AJ147" s="25">
        <f t="shared" si="57"/>
        <v>0</v>
      </c>
      <c r="AK147" s="25">
        <f t="shared" si="58"/>
        <v>0</v>
      </c>
      <c r="AL147" s="25">
        <f t="shared" si="59"/>
        <v>0</v>
      </c>
      <c r="AN147" s="42">
        <v>15</v>
      </c>
      <c r="AO147" s="42">
        <f>I147*1</f>
        <v>0</v>
      </c>
      <c r="AP147" s="42">
        <f>I147*(1-1)</f>
        <v>0</v>
      </c>
      <c r="AQ147" s="44" t="s">
        <v>13</v>
      </c>
      <c r="AV147" s="42">
        <f t="shared" si="60"/>
        <v>0</v>
      </c>
      <c r="AW147" s="42">
        <f t="shared" si="61"/>
        <v>0</v>
      </c>
      <c r="AX147" s="42">
        <f t="shared" si="62"/>
        <v>0</v>
      </c>
      <c r="AY147" s="45" t="s">
        <v>641</v>
      </c>
      <c r="AZ147" s="45" t="s">
        <v>660</v>
      </c>
      <c r="BA147" s="41" t="s">
        <v>664</v>
      </c>
      <c r="BC147" s="42">
        <f t="shared" si="63"/>
        <v>0</v>
      </c>
      <c r="BD147" s="42">
        <f t="shared" si="64"/>
        <v>0</v>
      </c>
      <c r="BE147" s="42">
        <v>0</v>
      </c>
      <c r="BF147" s="42">
        <f>145</f>
        <v>145</v>
      </c>
      <c r="BH147" s="25">
        <f t="shared" si="65"/>
        <v>0</v>
      </c>
      <c r="BI147" s="25">
        <f t="shared" si="66"/>
        <v>0</v>
      </c>
      <c r="BJ147" s="25">
        <f t="shared" si="67"/>
        <v>0</v>
      </c>
      <c r="BK147" s="25" t="s">
        <v>670</v>
      </c>
      <c r="BL147" s="42">
        <v>766</v>
      </c>
    </row>
    <row r="148" spans="1:64" x14ac:dyDescent="0.25">
      <c r="A148" s="4" t="s">
        <v>82</v>
      </c>
      <c r="B148" s="14" t="s">
        <v>237</v>
      </c>
      <c r="C148" s="136" t="s">
        <v>451</v>
      </c>
      <c r="D148" s="137"/>
      <c r="E148" s="137"/>
      <c r="F148" s="137"/>
      <c r="G148" s="14" t="s">
        <v>598</v>
      </c>
      <c r="H148" s="78">
        <v>2</v>
      </c>
      <c r="I148" s="24">
        <v>0</v>
      </c>
      <c r="J148" s="24">
        <f t="shared" si="46"/>
        <v>0</v>
      </c>
      <c r="K148" s="24">
        <f t="shared" si="47"/>
        <v>0</v>
      </c>
      <c r="L148" s="24">
        <f t="shared" si="48"/>
        <v>0</v>
      </c>
      <c r="M148" s="35" t="s">
        <v>616</v>
      </c>
      <c r="N148" s="5"/>
      <c r="Z148" s="42">
        <f t="shared" si="49"/>
        <v>0</v>
      </c>
      <c r="AB148" s="42">
        <f t="shared" si="50"/>
        <v>0</v>
      </c>
      <c r="AC148" s="42">
        <f t="shared" si="51"/>
        <v>0</v>
      </c>
      <c r="AD148" s="42">
        <f t="shared" si="52"/>
        <v>0</v>
      </c>
      <c r="AE148" s="42">
        <f t="shared" si="53"/>
        <v>0</v>
      </c>
      <c r="AF148" s="42">
        <f t="shared" si="54"/>
        <v>0</v>
      </c>
      <c r="AG148" s="42">
        <f t="shared" si="55"/>
        <v>0</v>
      </c>
      <c r="AH148" s="42">
        <f t="shared" si="56"/>
        <v>0</v>
      </c>
      <c r="AI148" s="41"/>
      <c r="AJ148" s="24">
        <f t="shared" si="57"/>
        <v>0</v>
      </c>
      <c r="AK148" s="24">
        <f t="shared" si="58"/>
        <v>0</v>
      </c>
      <c r="AL148" s="24">
        <f t="shared" si="59"/>
        <v>0</v>
      </c>
      <c r="AN148" s="42">
        <v>15</v>
      </c>
      <c r="AO148" s="42">
        <f>I148*0</f>
        <v>0</v>
      </c>
      <c r="AP148" s="42">
        <f>I148*(1-0)</f>
        <v>0</v>
      </c>
      <c r="AQ148" s="43" t="s">
        <v>13</v>
      </c>
      <c r="AV148" s="42">
        <f t="shared" si="60"/>
        <v>0</v>
      </c>
      <c r="AW148" s="42">
        <f t="shared" si="61"/>
        <v>0</v>
      </c>
      <c r="AX148" s="42">
        <f t="shared" si="62"/>
        <v>0</v>
      </c>
      <c r="AY148" s="45" t="s">
        <v>641</v>
      </c>
      <c r="AZ148" s="45" t="s">
        <v>660</v>
      </c>
      <c r="BA148" s="41" t="s">
        <v>664</v>
      </c>
      <c r="BC148" s="42">
        <f t="shared" si="63"/>
        <v>0</v>
      </c>
      <c r="BD148" s="42">
        <f t="shared" si="64"/>
        <v>0</v>
      </c>
      <c r="BE148" s="42">
        <v>0</v>
      </c>
      <c r="BF148" s="42">
        <f>146</f>
        <v>146</v>
      </c>
      <c r="BH148" s="24">
        <f t="shared" si="65"/>
        <v>0</v>
      </c>
      <c r="BI148" s="24">
        <f t="shared" si="66"/>
        <v>0</v>
      </c>
      <c r="BJ148" s="24">
        <f t="shared" si="67"/>
        <v>0</v>
      </c>
      <c r="BK148" s="24" t="s">
        <v>669</v>
      </c>
      <c r="BL148" s="42">
        <v>766</v>
      </c>
    </row>
    <row r="149" spans="1:64" x14ac:dyDescent="0.25">
      <c r="A149" s="4" t="s">
        <v>83</v>
      </c>
      <c r="B149" s="14" t="s">
        <v>238</v>
      </c>
      <c r="C149" s="136" t="s">
        <v>452</v>
      </c>
      <c r="D149" s="137"/>
      <c r="E149" s="137"/>
      <c r="F149" s="137"/>
      <c r="G149" s="14" t="s">
        <v>598</v>
      </c>
      <c r="H149" s="78">
        <v>1</v>
      </c>
      <c r="I149" s="24">
        <v>0</v>
      </c>
      <c r="J149" s="24">
        <f t="shared" si="46"/>
        <v>0</v>
      </c>
      <c r="K149" s="24">
        <f t="shared" si="47"/>
        <v>0</v>
      </c>
      <c r="L149" s="24">
        <f t="shared" si="48"/>
        <v>0</v>
      </c>
      <c r="M149" s="35" t="s">
        <v>616</v>
      </c>
      <c r="N149" s="5"/>
      <c r="Z149" s="42">
        <f t="shared" si="49"/>
        <v>0</v>
      </c>
      <c r="AB149" s="42">
        <f t="shared" si="50"/>
        <v>0</v>
      </c>
      <c r="AC149" s="42">
        <f t="shared" si="51"/>
        <v>0</v>
      </c>
      <c r="AD149" s="42">
        <f t="shared" si="52"/>
        <v>0</v>
      </c>
      <c r="AE149" s="42">
        <f t="shared" si="53"/>
        <v>0</v>
      </c>
      <c r="AF149" s="42">
        <f t="shared" si="54"/>
        <v>0</v>
      </c>
      <c r="AG149" s="42">
        <f t="shared" si="55"/>
        <v>0</v>
      </c>
      <c r="AH149" s="42">
        <f t="shared" si="56"/>
        <v>0</v>
      </c>
      <c r="AI149" s="41"/>
      <c r="AJ149" s="24">
        <f t="shared" si="57"/>
        <v>0</v>
      </c>
      <c r="AK149" s="24">
        <f t="shared" si="58"/>
        <v>0</v>
      </c>
      <c r="AL149" s="24">
        <f t="shared" si="59"/>
        <v>0</v>
      </c>
      <c r="AN149" s="42">
        <v>15</v>
      </c>
      <c r="AO149" s="42">
        <f>I149*0</f>
        <v>0</v>
      </c>
      <c r="AP149" s="42">
        <f>I149*(1-0)</f>
        <v>0</v>
      </c>
      <c r="AQ149" s="43" t="s">
        <v>13</v>
      </c>
      <c r="AV149" s="42">
        <f t="shared" si="60"/>
        <v>0</v>
      </c>
      <c r="AW149" s="42">
        <f t="shared" si="61"/>
        <v>0</v>
      </c>
      <c r="AX149" s="42">
        <f t="shared" si="62"/>
        <v>0</v>
      </c>
      <c r="AY149" s="45" t="s">
        <v>641</v>
      </c>
      <c r="AZ149" s="45" t="s">
        <v>660</v>
      </c>
      <c r="BA149" s="41" t="s">
        <v>664</v>
      </c>
      <c r="BC149" s="42">
        <f t="shared" si="63"/>
        <v>0</v>
      </c>
      <c r="BD149" s="42">
        <f t="shared" si="64"/>
        <v>0</v>
      </c>
      <c r="BE149" s="42">
        <v>0</v>
      </c>
      <c r="BF149" s="42">
        <f>147</f>
        <v>147</v>
      </c>
      <c r="BH149" s="24">
        <f t="shared" si="65"/>
        <v>0</v>
      </c>
      <c r="BI149" s="24">
        <f t="shared" si="66"/>
        <v>0</v>
      </c>
      <c r="BJ149" s="24">
        <f t="shared" si="67"/>
        <v>0</v>
      </c>
      <c r="BK149" s="24" t="s">
        <v>669</v>
      </c>
      <c r="BL149" s="42">
        <v>766</v>
      </c>
    </row>
    <row r="150" spans="1:64" x14ac:dyDescent="0.25">
      <c r="A150" s="7" t="s">
        <v>84</v>
      </c>
      <c r="B150" s="16" t="s">
        <v>239</v>
      </c>
      <c r="C150" s="143" t="s">
        <v>453</v>
      </c>
      <c r="D150" s="144"/>
      <c r="E150" s="144"/>
      <c r="F150" s="144"/>
      <c r="G150" s="16" t="s">
        <v>598</v>
      </c>
      <c r="H150" s="80">
        <v>1</v>
      </c>
      <c r="I150" s="25">
        <v>0</v>
      </c>
      <c r="J150" s="25">
        <f t="shared" si="46"/>
        <v>0</v>
      </c>
      <c r="K150" s="25">
        <f t="shared" si="47"/>
        <v>0</v>
      </c>
      <c r="L150" s="25">
        <f t="shared" si="48"/>
        <v>0</v>
      </c>
      <c r="M150" s="38" t="s">
        <v>616</v>
      </c>
      <c r="N150" s="5"/>
      <c r="Z150" s="42">
        <f t="shared" si="49"/>
        <v>0</v>
      </c>
      <c r="AB150" s="42">
        <f t="shared" si="50"/>
        <v>0</v>
      </c>
      <c r="AC150" s="42">
        <f t="shared" si="51"/>
        <v>0</v>
      </c>
      <c r="AD150" s="42">
        <f t="shared" si="52"/>
        <v>0</v>
      </c>
      <c r="AE150" s="42">
        <f t="shared" si="53"/>
        <v>0</v>
      </c>
      <c r="AF150" s="42">
        <f t="shared" si="54"/>
        <v>0</v>
      </c>
      <c r="AG150" s="42">
        <f t="shared" si="55"/>
        <v>0</v>
      </c>
      <c r="AH150" s="42">
        <f t="shared" si="56"/>
        <v>0</v>
      </c>
      <c r="AI150" s="41"/>
      <c r="AJ150" s="25">
        <f t="shared" si="57"/>
        <v>0</v>
      </c>
      <c r="AK150" s="25">
        <f t="shared" si="58"/>
        <v>0</v>
      </c>
      <c r="AL150" s="25">
        <f t="shared" si="59"/>
        <v>0</v>
      </c>
      <c r="AN150" s="42">
        <v>15</v>
      </c>
      <c r="AO150" s="42">
        <f>I150*1</f>
        <v>0</v>
      </c>
      <c r="AP150" s="42">
        <f>I150*(1-1)</f>
        <v>0</v>
      </c>
      <c r="AQ150" s="44" t="s">
        <v>13</v>
      </c>
      <c r="AV150" s="42">
        <f t="shared" si="60"/>
        <v>0</v>
      </c>
      <c r="AW150" s="42">
        <f t="shared" si="61"/>
        <v>0</v>
      </c>
      <c r="AX150" s="42">
        <f t="shared" si="62"/>
        <v>0</v>
      </c>
      <c r="AY150" s="45" t="s">
        <v>641</v>
      </c>
      <c r="AZ150" s="45" t="s">
        <v>660</v>
      </c>
      <c r="BA150" s="41" t="s">
        <v>664</v>
      </c>
      <c r="BC150" s="42">
        <f t="shared" si="63"/>
        <v>0</v>
      </c>
      <c r="BD150" s="42">
        <f t="shared" si="64"/>
        <v>0</v>
      </c>
      <c r="BE150" s="42">
        <v>0</v>
      </c>
      <c r="BF150" s="42">
        <f>148</f>
        <v>148</v>
      </c>
      <c r="BH150" s="25">
        <f t="shared" si="65"/>
        <v>0</v>
      </c>
      <c r="BI150" s="25">
        <f t="shared" si="66"/>
        <v>0</v>
      </c>
      <c r="BJ150" s="25">
        <f t="shared" si="67"/>
        <v>0</v>
      </c>
      <c r="BK150" s="25" t="s">
        <v>670</v>
      </c>
      <c r="BL150" s="42">
        <v>766</v>
      </c>
    </row>
    <row r="151" spans="1:64" x14ac:dyDescent="0.25">
      <c r="A151" s="7" t="s">
        <v>85</v>
      </c>
      <c r="B151" s="16" t="s">
        <v>240</v>
      </c>
      <c r="C151" s="143" t="s">
        <v>454</v>
      </c>
      <c r="D151" s="144"/>
      <c r="E151" s="144"/>
      <c r="F151" s="144"/>
      <c r="G151" s="16" t="s">
        <v>598</v>
      </c>
      <c r="H151" s="80">
        <v>2</v>
      </c>
      <c r="I151" s="25">
        <v>0</v>
      </c>
      <c r="J151" s="25">
        <f t="shared" si="46"/>
        <v>0</v>
      </c>
      <c r="K151" s="25">
        <f t="shared" si="47"/>
        <v>0</v>
      </c>
      <c r="L151" s="25">
        <f t="shared" si="48"/>
        <v>0</v>
      </c>
      <c r="M151" s="38" t="s">
        <v>616</v>
      </c>
      <c r="N151" s="5"/>
      <c r="Z151" s="42">
        <f t="shared" si="49"/>
        <v>0</v>
      </c>
      <c r="AB151" s="42">
        <f t="shared" si="50"/>
        <v>0</v>
      </c>
      <c r="AC151" s="42">
        <f t="shared" si="51"/>
        <v>0</v>
      </c>
      <c r="AD151" s="42">
        <f t="shared" si="52"/>
        <v>0</v>
      </c>
      <c r="AE151" s="42">
        <f t="shared" si="53"/>
        <v>0</v>
      </c>
      <c r="AF151" s="42">
        <f t="shared" si="54"/>
        <v>0</v>
      </c>
      <c r="AG151" s="42">
        <f t="shared" si="55"/>
        <v>0</v>
      </c>
      <c r="AH151" s="42">
        <f t="shared" si="56"/>
        <v>0</v>
      </c>
      <c r="AI151" s="41"/>
      <c r="AJ151" s="25">
        <f t="shared" si="57"/>
        <v>0</v>
      </c>
      <c r="AK151" s="25">
        <f t="shared" si="58"/>
        <v>0</v>
      </c>
      <c r="AL151" s="25">
        <f t="shared" si="59"/>
        <v>0</v>
      </c>
      <c r="AN151" s="42">
        <v>15</v>
      </c>
      <c r="AO151" s="42">
        <f>I151*1</f>
        <v>0</v>
      </c>
      <c r="AP151" s="42">
        <f>I151*(1-1)</f>
        <v>0</v>
      </c>
      <c r="AQ151" s="44" t="s">
        <v>13</v>
      </c>
      <c r="AV151" s="42">
        <f t="shared" si="60"/>
        <v>0</v>
      </c>
      <c r="AW151" s="42">
        <f t="shared" si="61"/>
        <v>0</v>
      </c>
      <c r="AX151" s="42">
        <f t="shared" si="62"/>
        <v>0</v>
      </c>
      <c r="AY151" s="45" t="s">
        <v>641</v>
      </c>
      <c r="AZ151" s="45" t="s">
        <v>660</v>
      </c>
      <c r="BA151" s="41" t="s">
        <v>664</v>
      </c>
      <c r="BC151" s="42">
        <f t="shared" si="63"/>
        <v>0</v>
      </c>
      <c r="BD151" s="42">
        <f t="shared" si="64"/>
        <v>0</v>
      </c>
      <c r="BE151" s="42">
        <v>0</v>
      </c>
      <c r="BF151" s="42">
        <f>149</f>
        <v>149</v>
      </c>
      <c r="BH151" s="25">
        <f t="shared" si="65"/>
        <v>0</v>
      </c>
      <c r="BI151" s="25">
        <f t="shared" si="66"/>
        <v>0</v>
      </c>
      <c r="BJ151" s="25">
        <f t="shared" si="67"/>
        <v>0</v>
      </c>
      <c r="BK151" s="25" t="s">
        <v>670</v>
      </c>
      <c r="BL151" s="42">
        <v>766</v>
      </c>
    </row>
    <row r="152" spans="1:64" x14ac:dyDescent="0.25">
      <c r="A152" s="7" t="s">
        <v>86</v>
      </c>
      <c r="B152" s="16" t="s">
        <v>241</v>
      </c>
      <c r="C152" s="143" t="s">
        <v>455</v>
      </c>
      <c r="D152" s="144"/>
      <c r="E152" s="144"/>
      <c r="F152" s="144"/>
      <c r="G152" s="16" t="s">
        <v>598</v>
      </c>
      <c r="H152" s="80">
        <v>2</v>
      </c>
      <c r="I152" s="25">
        <v>0</v>
      </c>
      <c r="J152" s="25">
        <f t="shared" si="46"/>
        <v>0</v>
      </c>
      <c r="K152" s="25">
        <f t="shared" si="47"/>
        <v>0</v>
      </c>
      <c r="L152" s="25">
        <f t="shared" si="48"/>
        <v>0</v>
      </c>
      <c r="M152" s="38" t="s">
        <v>616</v>
      </c>
      <c r="N152" s="5"/>
      <c r="Z152" s="42">
        <f t="shared" si="49"/>
        <v>0</v>
      </c>
      <c r="AB152" s="42">
        <f t="shared" si="50"/>
        <v>0</v>
      </c>
      <c r="AC152" s="42">
        <f t="shared" si="51"/>
        <v>0</v>
      </c>
      <c r="AD152" s="42">
        <f t="shared" si="52"/>
        <v>0</v>
      </c>
      <c r="AE152" s="42">
        <f t="shared" si="53"/>
        <v>0</v>
      </c>
      <c r="AF152" s="42">
        <f t="shared" si="54"/>
        <v>0</v>
      </c>
      <c r="AG152" s="42">
        <f t="shared" si="55"/>
        <v>0</v>
      </c>
      <c r="AH152" s="42">
        <f t="shared" si="56"/>
        <v>0</v>
      </c>
      <c r="AI152" s="41"/>
      <c r="AJ152" s="25">
        <f t="shared" si="57"/>
        <v>0</v>
      </c>
      <c r="AK152" s="25">
        <f t="shared" si="58"/>
        <v>0</v>
      </c>
      <c r="AL152" s="25">
        <f t="shared" si="59"/>
        <v>0</v>
      </c>
      <c r="AN152" s="42">
        <v>15</v>
      </c>
      <c r="AO152" s="42">
        <f>I152*1</f>
        <v>0</v>
      </c>
      <c r="AP152" s="42">
        <f>I152*(1-1)</f>
        <v>0</v>
      </c>
      <c r="AQ152" s="44" t="s">
        <v>13</v>
      </c>
      <c r="AV152" s="42">
        <f t="shared" si="60"/>
        <v>0</v>
      </c>
      <c r="AW152" s="42">
        <f t="shared" si="61"/>
        <v>0</v>
      </c>
      <c r="AX152" s="42">
        <f t="shared" si="62"/>
        <v>0</v>
      </c>
      <c r="AY152" s="45" t="s">
        <v>641</v>
      </c>
      <c r="AZ152" s="45" t="s">
        <v>660</v>
      </c>
      <c r="BA152" s="41" t="s">
        <v>664</v>
      </c>
      <c r="BC152" s="42">
        <f t="shared" si="63"/>
        <v>0</v>
      </c>
      <c r="BD152" s="42">
        <f t="shared" si="64"/>
        <v>0</v>
      </c>
      <c r="BE152" s="42">
        <v>0</v>
      </c>
      <c r="BF152" s="42">
        <f>150</f>
        <v>150</v>
      </c>
      <c r="BH152" s="25">
        <f t="shared" si="65"/>
        <v>0</v>
      </c>
      <c r="BI152" s="25">
        <f t="shared" si="66"/>
        <v>0</v>
      </c>
      <c r="BJ152" s="25">
        <f t="shared" si="67"/>
        <v>0</v>
      </c>
      <c r="BK152" s="25" t="s">
        <v>670</v>
      </c>
      <c r="BL152" s="42">
        <v>766</v>
      </c>
    </row>
    <row r="153" spans="1:64" x14ac:dyDescent="0.25">
      <c r="A153" s="7" t="s">
        <v>87</v>
      </c>
      <c r="B153" s="16" t="s">
        <v>242</v>
      </c>
      <c r="C153" s="143" t="s">
        <v>456</v>
      </c>
      <c r="D153" s="144"/>
      <c r="E153" s="144"/>
      <c r="F153" s="144"/>
      <c r="G153" s="16" t="s">
        <v>598</v>
      </c>
      <c r="H153" s="80">
        <v>2</v>
      </c>
      <c r="I153" s="25">
        <v>0</v>
      </c>
      <c r="J153" s="25">
        <f t="shared" si="46"/>
        <v>0</v>
      </c>
      <c r="K153" s="25">
        <f t="shared" si="47"/>
        <v>0</v>
      </c>
      <c r="L153" s="25">
        <f t="shared" si="48"/>
        <v>0</v>
      </c>
      <c r="M153" s="38" t="s">
        <v>616</v>
      </c>
      <c r="N153" s="5"/>
      <c r="Z153" s="42">
        <f t="shared" si="49"/>
        <v>0</v>
      </c>
      <c r="AB153" s="42">
        <f t="shared" si="50"/>
        <v>0</v>
      </c>
      <c r="AC153" s="42">
        <f t="shared" si="51"/>
        <v>0</v>
      </c>
      <c r="AD153" s="42">
        <f t="shared" si="52"/>
        <v>0</v>
      </c>
      <c r="AE153" s="42">
        <f t="shared" si="53"/>
        <v>0</v>
      </c>
      <c r="AF153" s="42">
        <f t="shared" si="54"/>
        <v>0</v>
      </c>
      <c r="AG153" s="42">
        <f t="shared" si="55"/>
        <v>0</v>
      </c>
      <c r="AH153" s="42">
        <f t="shared" si="56"/>
        <v>0</v>
      </c>
      <c r="AI153" s="41"/>
      <c r="AJ153" s="25">
        <f t="shared" si="57"/>
        <v>0</v>
      </c>
      <c r="AK153" s="25">
        <f t="shared" si="58"/>
        <v>0</v>
      </c>
      <c r="AL153" s="25">
        <f t="shared" si="59"/>
        <v>0</v>
      </c>
      <c r="AN153" s="42">
        <v>15</v>
      </c>
      <c r="AO153" s="42">
        <f>I153*1</f>
        <v>0</v>
      </c>
      <c r="AP153" s="42">
        <f>I153*(1-1)</f>
        <v>0</v>
      </c>
      <c r="AQ153" s="44" t="s">
        <v>13</v>
      </c>
      <c r="AV153" s="42">
        <f t="shared" si="60"/>
        <v>0</v>
      </c>
      <c r="AW153" s="42">
        <f t="shared" si="61"/>
        <v>0</v>
      </c>
      <c r="AX153" s="42">
        <f t="shared" si="62"/>
        <v>0</v>
      </c>
      <c r="AY153" s="45" t="s">
        <v>641</v>
      </c>
      <c r="AZ153" s="45" t="s">
        <v>660</v>
      </c>
      <c r="BA153" s="41" t="s">
        <v>664</v>
      </c>
      <c r="BC153" s="42">
        <f t="shared" si="63"/>
        <v>0</v>
      </c>
      <c r="BD153" s="42">
        <f t="shared" si="64"/>
        <v>0</v>
      </c>
      <c r="BE153" s="42">
        <v>0</v>
      </c>
      <c r="BF153" s="42">
        <f>151</f>
        <v>151</v>
      </c>
      <c r="BH153" s="25">
        <f t="shared" si="65"/>
        <v>0</v>
      </c>
      <c r="BI153" s="25">
        <f t="shared" si="66"/>
        <v>0</v>
      </c>
      <c r="BJ153" s="25">
        <f t="shared" si="67"/>
        <v>0</v>
      </c>
      <c r="BK153" s="25" t="s">
        <v>670</v>
      </c>
      <c r="BL153" s="42">
        <v>766</v>
      </c>
    </row>
    <row r="154" spans="1:64" x14ac:dyDescent="0.25">
      <c r="A154" s="4" t="s">
        <v>88</v>
      </c>
      <c r="B154" s="14" t="s">
        <v>243</v>
      </c>
      <c r="C154" s="136" t="s">
        <v>457</v>
      </c>
      <c r="D154" s="137"/>
      <c r="E154" s="137"/>
      <c r="F154" s="137"/>
      <c r="G154" s="14" t="s">
        <v>598</v>
      </c>
      <c r="H154" s="78">
        <v>2</v>
      </c>
      <c r="I154" s="24">
        <v>0</v>
      </c>
      <c r="J154" s="24">
        <f t="shared" si="46"/>
        <v>0</v>
      </c>
      <c r="K154" s="24">
        <f t="shared" si="47"/>
        <v>0</v>
      </c>
      <c r="L154" s="24">
        <f t="shared" si="48"/>
        <v>0</v>
      </c>
      <c r="M154" s="35" t="s">
        <v>616</v>
      </c>
      <c r="N154" s="5"/>
      <c r="Z154" s="42">
        <f t="shared" si="49"/>
        <v>0</v>
      </c>
      <c r="AB154" s="42">
        <f t="shared" si="50"/>
        <v>0</v>
      </c>
      <c r="AC154" s="42">
        <f t="shared" si="51"/>
        <v>0</v>
      </c>
      <c r="AD154" s="42">
        <f t="shared" si="52"/>
        <v>0</v>
      </c>
      <c r="AE154" s="42">
        <f t="shared" si="53"/>
        <v>0</v>
      </c>
      <c r="AF154" s="42">
        <f t="shared" si="54"/>
        <v>0</v>
      </c>
      <c r="AG154" s="42">
        <f t="shared" si="55"/>
        <v>0</v>
      </c>
      <c r="AH154" s="42">
        <f t="shared" si="56"/>
        <v>0</v>
      </c>
      <c r="AI154" s="41"/>
      <c r="AJ154" s="24">
        <f t="shared" si="57"/>
        <v>0</v>
      </c>
      <c r="AK154" s="24">
        <f t="shared" si="58"/>
        <v>0</v>
      </c>
      <c r="AL154" s="24">
        <f t="shared" si="59"/>
        <v>0</v>
      </c>
      <c r="AN154" s="42">
        <v>15</v>
      </c>
      <c r="AO154" s="42">
        <f>I154*0</f>
        <v>0</v>
      </c>
      <c r="AP154" s="42">
        <f>I154*(1-0)</f>
        <v>0</v>
      </c>
      <c r="AQ154" s="43" t="s">
        <v>13</v>
      </c>
      <c r="AV154" s="42">
        <f t="shared" si="60"/>
        <v>0</v>
      </c>
      <c r="AW154" s="42">
        <f t="shared" si="61"/>
        <v>0</v>
      </c>
      <c r="AX154" s="42">
        <f t="shared" si="62"/>
        <v>0</v>
      </c>
      <c r="AY154" s="45" t="s">
        <v>641</v>
      </c>
      <c r="AZ154" s="45" t="s">
        <v>660</v>
      </c>
      <c r="BA154" s="41" t="s">
        <v>664</v>
      </c>
      <c r="BC154" s="42">
        <f t="shared" si="63"/>
        <v>0</v>
      </c>
      <c r="BD154" s="42">
        <f t="shared" si="64"/>
        <v>0</v>
      </c>
      <c r="BE154" s="42">
        <v>0</v>
      </c>
      <c r="BF154" s="42">
        <f>152</f>
        <v>152</v>
      </c>
      <c r="BH154" s="24">
        <f t="shared" si="65"/>
        <v>0</v>
      </c>
      <c r="BI154" s="24">
        <f t="shared" si="66"/>
        <v>0</v>
      </c>
      <c r="BJ154" s="24">
        <f t="shared" si="67"/>
        <v>0</v>
      </c>
      <c r="BK154" s="24" t="s">
        <v>669</v>
      </c>
      <c r="BL154" s="42">
        <v>766</v>
      </c>
    </row>
    <row r="155" spans="1:64" x14ac:dyDescent="0.25">
      <c r="A155" s="7" t="s">
        <v>89</v>
      </c>
      <c r="B155" s="16" t="s">
        <v>244</v>
      </c>
      <c r="C155" s="143" t="s">
        <v>458</v>
      </c>
      <c r="D155" s="144"/>
      <c r="E155" s="144"/>
      <c r="F155" s="144"/>
      <c r="G155" s="16" t="s">
        <v>598</v>
      </c>
      <c r="H155" s="80">
        <v>1</v>
      </c>
      <c r="I155" s="25">
        <v>0</v>
      </c>
      <c r="J155" s="25">
        <f t="shared" si="46"/>
        <v>0</v>
      </c>
      <c r="K155" s="25">
        <f t="shared" si="47"/>
        <v>0</v>
      </c>
      <c r="L155" s="25">
        <f t="shared" si="48"/>
        <v>0</v>
      </c>
      <c r="M155" s="38" t="s">
        <v>616</v>
      </c>
      <c r="N155" s="5"/>
      <c r="Z155" s="42">
        <f t="shared" si="49"/>
        <v>0</v>
      </c>
      <c r="AB155" s="42">
        <f t="shared" si="50"/>
        <v>0</v>
      </c>
      <c r="AC155" s="42">
        <f t="shared" si="51"/>
        <v>0</v>
      </c>
      <c r="AD155" s="42">
        <f t="shared" si="52"/>
        <v>0</v>
      </c>
      <c r="AE155" s="42">
        <f t="shared" si="53"/>
        <v>0</v>
      </c>
      <c r="AF155" s="42">
        <f t="shared" si="54"/>
        <v>0</v>
      </c>
      <c r="AG155" s="42">
        <f t="shared" si="55"/>
        <v>0</v>
      </c>
      <c r="AH155" s="42">
        <f t="shared" si="56"/>
        <v>0</v>
      </c>
      <c r="AI155" s="41"/>
      <c r="AJ155" s="25">
        <f t="shared" si="57"/>
        <v>0</v>
      </c>
      <c r="AK155" s="25">
        <f t="shared" si="58"/>
        <v>0</v>
      </c>
      <c r="AL155" s="25">
        <f t="shared" si="59"/>
        <v>0</v>
      </c>
      <c r="AN155" s="42">
        <v>15</v>
      </c>
      <c r="AO155" s="42">
        <f>I155*1</f>
        <v>0</v>
      </c>
      <c r="AP155" s="42">
        <f>I155*(1-1)</f>
        <v>0</v>
      </c>
      <c r="AQ155" s="44" t="s">
        <v>13</v>
      </c>
      <c r="AV155" s="42">
        <f t="shared" si="60"/>
        <v>0</v>
      </c>
      <c r="AW155" s="42">
        <f t="shared" si="61"/>
        <v>0</v>
      </c>
      <c r="AX155" s="42">
        <f t="shared" si="62"/>
        <v>0</v>
      </c>
      <c r="AY155" s="45" t="s">
        <v>641</v>
      </c>
      <c r="AZ155" s="45" t="s">
        <v>660</v>
      </c>
      <c r="BA155" s="41" t="s">
        <v>664</v>
      </c>
      <c r="BC155" s="42">
        <f t="shared" si="63"/>
        <v>0</v>
      </c>
      <c r="BD155" s="42">
        <f t="shared" si="64"/>
        <v>0</v>
      </c>
      <c r="BE155" s="42">
        <v>0</v>
      </c>
      <c r="BF155" s="42">
        <f>153</f>
        <v>153</v>
      </c>
      <c r="BH155" s="25">
        <f t="shared" si="65"/>
        <v>0</v>
      </c>
      <c r="BI155" s="25">
        <f t="shared" si="66"/>
        <v>0</v>
      </c>
      <c r="BJ155" s="25">
        <f t="shared" si="67"/>
        <v>0</v>
      </c>
      <c r="BK155" s="25" t="s">
        <v>670</v>
      </c>
      <c r="BL155" s="42">
        <v>766</v>
      </c>
    </row>
    <row r="156" spans="1:64" x14ac:dyDescent="0.25">
      <c r="A156" s="7" t="s">
        <v>90</v>
      </c>
      <c r="B156" s="16" t="s">
        <v>245</v>
      </c>
      <c r="C156" s="143" t="s">
        <v>459</v>
      </c>
      <c r="D156" s="144"/>
      <c r="E156" s="144"/>
      <c r="F156" s="144"/>
      <c r="G156" s="16" t="s">
        <v>598</v>
      </c>
      <c r="H156" s="80">
        <v>1</v>
      </c>
      <c r="I156" s="25">
        <v>0</v>
      </c>
      <c r="J156" s="25">
        <f t="shared" si="46"/>
        <v>0</v>
      </c>
      <c r="K156" s="25">
        <f t="shared" si="47"/>
        <v>0</v>
      </c>
      <c r="L156" s="25">
        <f t="shared" si="48"/>
        <v>0</v>
      </c>
      <c r="M156" s="38" t="s">
        <v>616</v>
      </c>
      <c r="N156" s="5"/>
      <c r="Z156" s="42">
        <f t="shared" si="49"/>
        <v>0</v>
      </c>
      <c r="AB156" s="42">
        <f t="shared" si="50"/>
        <v>0</v>
      </c>
      <c r="AC156" s="42">
        <f t="shared" si="51"/>
        <v>0</v>
      </c>
      <c r="AD156" s="42">
        <f t="shared" si="52"/>
        <v>0</v>
      </c>
      <c r="AE156" s="42">
        <f t="shared" si="53"/>
        <v>0</v>
      </c>
      <c r="AF156" s="42">
        <f t="shared" si="54"/>
        <v>0</v>
      </c>
      <c r="AG156" s="42">
        <f t="shared" si="55"/>
        <v>0</v>
      </c>
      <c r="AH156" s="42">
        <f t="shared" si="56"/>
        <v>0</v>
      </c>
      <c r="AI156" s="41"/>
      <c r="AJ156" s="25">
        <f t="shared" si="57"/>
        <v>0</v>
      </c>
      <c r="AK156" s="25">
        <f t="shared" si="58"/>
        <v>0</v>
      </c>
      <c r="AL156" s="25">
        <f t="shared" si="59"/>
        <v>0</v>
      </c>
      <c r="AN156" s="42">
        <v>15</v>
      </c>
      <c r="AO156" s="42">
        <f>I156*1</f>
        <v>0</v>
      </c>
      <c r="AP156" s="42">
        <f>I156*(1-1)</f>
        <v>0</v>
      </c>
      <c r="AQ156" s="44" t="s">
        <v>13</v>
      </c>
      <c r="AV156" s="42">
        <f t="shared" si="60"/>
        <v>0</v>
      </c>
      <c r="AW156" s="42">
        <f t="shared" si="61"/>
        <v>0</v>
      </c>
      <c r="AX156" s="42">
        <f t="shared" si="62"/>
        <v>0</v>
      </c>
      <c r="AY156" s="45" t="s">
        <v>641</v>
      </c>
      <c r="AZ156" s="45" t="s">
        <v>660</v>
      </c>
      <c r="BA156" s="41" t="s">
        <v>664</v>
      </c>
      <c r="BC156" s="42">
        <f t="shared" si="63"/>
        <v>0</v>
      </c>
      <c r="BD156" s="42">
        <f t="shared" si="64"/>
        <v>0</v>
      </c>
      <c r="BE156" s="42">
        <v>0</v>
      </c>
      <c r="BF156" s="42">
        <f>154</f>
        <v>154</v>
      </c>
      <c r="BH156" s="25">
        <f t="shared" si="65"/>
        <v>0</v>
      </c>
      <c r="BI156" s="25">
        <f t="shared" si="66"/>
        <v>0</v>
      </c>
      <c r="BJ156" s="25">
        <f t="shared" si="67"/>
        <v>0</v>
      </c>
      <c r="BK156" s="25" t="s">
        <v>670</v>
      </c>
      <c r="BL156" s="42">
        <v>766</v>
      </c>
    </row>
    <row r="157" spans="1:64" x14ac:dyDescent="0.25">
      <c r="A157" s="7" t="s">
        <v>91</v>
      </c>
      <c r="B157" s="16" t="s">
        <v>246</v>
      </c>
      <c r="C157" s="143" t="s">
        <v>460</v>
      </c>
      <c r="D157" s="144"/>
      <c r="E157" s="144"/>
      <c r="F157" s="144"/>
      <c r="G157" s="16" t="s">
        <v>598</v>
      </c>
      <c r="H157" s="80">
        <v>1</v>
      </c>
      <c r="I157" s="25">
        <v>0</v>
      </c>
      <c r="J157" s="25">
        <f t="shared" si="46"/>
        <v>0</v>
      </c>
      <c r="K157" s="25">
        <f t="shared" si="47"/>
        <v>0</v>
      </c>
      <c r="L157" s="25">
        <f t="shared" si="48"/>
        <v>0</v>
      </c>
      <c r="M157" s="38" t="s">
        <v>616</v>
      </c>
      <c r="N157" s="5"/>
      <c r="Z157" s="42">
        <f t="shared" si="49"/>
        <v>0</v>
      </c>
      <c r="AB157" s="42">
        <f t="shared" si="50"/>
        <v>0</v>
      </c>
      <c r="AC157" s="42">
        <f t="shared" si="51"/>
        <v>0</v>
      </c>
      <c r="AD157" s="42">
        <f t="shared" si="52"/>
        <v>0</v>
      </c>
      <c r="AE157" s="42">
        <f t="shared" si="53"/>
        <v>0</v>
      </c>
      <c r="AF157" s="42">
        <f t="shared" si="54"/>
        <v>0</v>
      </c>
      <c r="AG157" s="42">
        <f t="shared" si="55"/>
        <v>0</v>
      </c>
      <c r="AH157" s="42">
        <f t="shared" si="56"/>
        <v>0</v>
      </c>
      <c r="AI157" s="41"/>
      <c r="AJ157" s="25">
        <f t="shared" si="57"/>
        <v>0</v>
      </c>
      <c r="AK157" s="25">
        <f t="shared" si="58"/>
        <v>0</v>
      </c>
      <c r="AL157" s="25">
        <f t="shared" si="59"/>
        <v>0</v>
      </c>
      <c r="AN157" s="42">
        <v>15</v>
      </c>
      <c r="AO157" s="42">
        <f>I157*1</f>
        <v>0</v>
      </c>
      <c r="AP157" s="42">
        <f>I157*(1-1)</f>
        <v>0</v>
      </c>
      <c r="AQ157" s="44" t="s">
        <v>13</v>
      </c>
      <c r="AV157" s="42">
        <f t="shared" si="60"/>
        <v>0</v>
      </c>
      <c r="AW157" s="42">
        <f t="shared" si="61"/>
        <v>0</v>
      </c>
      <c r="AX157" s="42">
        <f t="shared" si="62"/>
        <v>0</v>
      </c>
      <c r="AY157" s="45" t="s">
        <v>641</v>
      </c>
      <c r="AZ157" s="45" t="s">
        <v>660</v>
      </c>
      <c r="BA157" s="41" t="s">
        <v>664</v>
      </c>
      <c r="BC157" s="42">
        <f t="shared" si="63"/>
        <v>0</v>
      </c>
      <c r="BD157" s="42">
        <f t="shared" si="64"/>
        <v>0</v>
      </c>
      <c r="BE157" s="42">
        <v>0</v>
      </c>
      <c r="BF157" s="42">
        <f>155</f>
        <v>155</v>
      </c>
      <c r="BH157" s="25">
        <f t="shared" si="65"/>
        <v>0</v>
      </c>
      <c r="BI157" s="25">
        <f t="shared" si="66"/>
        <v>0</v>
      </c>
      <c r="BJ157" s="25">
        <f t="shared" si="67"/>
        <v>0</v>
      </c>
      <c r="BK157" s="25" t="s">
        <v>670</v>
      </c>
      <c r="BL157" s="42">
        <v>766</v>
      </c>
    </row>
    <row r="158" spans="1:64" x14ac:dyDescent="0.25">
      <c r="A158" s="7" t="s">
        <v>92</v>
      </c>
      <c r="B158" s="16" t="s">
        <v>247</v>
      </c>
      <c r="C158" s="143" t="s">
        <v>461</v>
      </c>
      <c r="D158" s="144"/>
      <c r="E158" s="144"/>
      <c r="F158" s="144"/>
      <c r="G158" s="16" t="s">
        <v>598</v>
      </c>
      <c r="H158" s="80">
        <v>1</v>
      </c>
      <c r="I158" s="25">
        <v>0</v>
      </c>
      <c r="J158" s="25">
        <f t="shared" si="46"/>
        <v>0</v>
      </c>
      <c r="K158" s="25">
        <f t="shared" si="47"/>
        <v>0</v>
      </c>
      <c r="L158" s="25">
        <f t="shared" si="48"/>
        <v>0</v>
      </c>
      <c r="M158" s="38" t="s">
        <v>616</v>
      </c>
      <c r="N158" s="5"/>
      <c r="Z158" s="42">
        <f t="shared" si="49"/>
        <v>0</v>
      </c>
      <c r="AB158" s="42">
        <f t="shared" si="50"/>
        <v>0</v>
      </c>
      <c r="AC158" s="42">
        <f t="shared" si="51"/>
        <v>0</v>
      </c>
      <c r="AD158" s="42">
        <f t="shared" si="52"/>
        <v>0</v>
      </c>
      <c r="AE158" s="42">
        <f t="shared" si="53"/>
        <v>0</v>
      </c>
      <c r="AF158" s="42">
        <f t="shared" si="54"/>
        <v>0</v>
      </c>
      <c r="AG158" s="42">
        <f t="shared" si="55"/>
        <v>0</v>
      </c>
      <c r="AH158" s="42">
        <f t="shared" si="56"/>
        <v>0</v>
      </c>
      <c r="AI158" s="41"/>
      <c r="AJ158" s="25">
        <f t="shared" si="57"/>
        <v>0</v>
      </c>
      <c r="AK158" s="25">
        <f t="shared" si="58"/>
        <v>0</v>
      </c>
      <c r="AL158" s="25">
        <f t="shared" si="59"/>
        <v>0</v>
      </c>
      <c r="AN158" s="42">
        <v>15</v>
      </c>
      <c r="AO158" s="42">
        <f>I158*1</f>
        <v>0</v>
      </c>
      <c r="AP158" s="42">
        <f>I158*(1-1)</f>
        <v>0</v>
      </c>
      <c r="AQ158" s="44" t="s">
        <v>13</v>
      </c>
      <c r="AV158" s="42">
        <f t="shared" si="60"/>
        <v>0</v>
      </c>
      <c r="AW158" s="42">
        <f t="shared" si="61"/>
        <v>0</v>
      </c>
      <c r="AX158" s="42">
        <f t="shared" si="62"/>
        <v>0</v>
      </c>
      <c r="AY158" s="45" t="s">
        <v>641</v>
      </c>
      <c r="AZ158" s="45" t="s">
        <v>660</v>
      </c>
      <c r="BA158" s="41" t="s">
        <v>664</v>
      </c>
      <c r="BC158" s="42">
        <f t="shared" si="63"/>
        <v>0</v>
      </c>
      <c r="BD158" s="42">
        <f t="shared" si="64"/>
        <v>0</v>
      </c>
      <c r="BE158" s="42">
        <v>0</v>
      </c>
      <c r="BF158" s="42">
        <f>156</f>
        <v>156</v>
      </c>
      <c r="BH158" s="25">
        <f t="shared" si="65"/>
        <v>0</v>
      </c>
      <c r="BI158" s="25">
        <f t="shared" si="66"/>
        <v>0</v>
      </c>
      <c r="BJ158" s="25">
        <f t="shared" si="67"/>
        <v>0</v>
      </c>
      <c r="BK158" s="25" t="s">
        <v>670</v>
      </c>
      <c r="BL158" s="42">
        <v>766</v>
      </c>
    </row>
    <row r="159" spans="1:64" x14ac:dyDescent="0.25">
      <c r="A159" s="4" t="s">
        <v>93</v>
      </c>
      <c r="B159" s="14" t="s">
        <v>248</v>
      </c>
      <c r="C159" s="136" t="s">
        <v>462</v>
      </c>
      <c r="D159" s="137"/>
      <c r="E159" s="137"/>
      <c r="F159" s="137"/>
      <c r="G159" s="14" t="s">
        <v>598</v>
      </c>
      <c r="H159" s="78">
        <v>2</v>
      </c>
      <c r="I159" s="24">
        <v>0</v>
      </c>
      <c r="J159" s="24">
        <f t="shared" si="46"/>
        <v>0</v>
      </c>
      <c r="K159" s="24">
        <f t="shared" si="47"/>
        <v>0</v>
      </c>
      <c r="L159" s="24">
        <f t="shared" si="48"/>
        <v>0</v>
      </c>
      <c r="M159" s="35" t="s">
        <v>616</v>
      </c>
      <c r="N159" s="5"/>
      <c r="Z159" s="42">
        <f t="shared" si="49"/>
        <v>0</v>
      </c>
      <c r="AB159" s="42">
        <f t="shared" si="50"/>
        <v>0</v>
      </c>
      <c r="AC159" s="42">
        <f t="shared" si="51"/>
        <v>0</v>
      </c>
      <c r="AD159" s="42">
        <f t="shared" si="52"/>
        <v>0</v>
      </c>
      <c r="AE159" s="42">
        <f t="shared" si="53"/>
        <v>0</v>
      </c>
      <c r="AF159" s="42">
        <f t="shared" si="54"/>
        <v>0</v>
      </c>
      <c r="AG159" s="42">
        <f t="shared" si="55"/>
        <v>0</v>
      </c>
      <c r="AH159" s="42">
        <f t="shared" si="56"/>
        <v>0</v>
      </c>
      <c r="AI159" s="41"/>
      <c r="AJ159" s="24">
        <f t="shared" si="57"/>
        <v>0</v>
      </c>
      <c r="AK159" s="24">
        <f t="shared" si="58"/>
        <v>0</v>
      </c>
      <c r="AL159" s="24">
        <f t="shared" si="59"/>
        <v>0</v>
      </c>
      <c r="AN159" s="42">
        <v>15</v>
      </c>
      <c r="AO159" s="42">
        <f>I159*0.0493005585097488</f>
        <v>0</v>
      </c>
      <c r="AP159" s="42">
        <f>I159*(1-0.0493005585097488)</f>
        <v>0</v>
      </c>
      <c r="AQ159" s="43" t="s">
        <v>13</v>
      </c>
      <c r="AV159" s="42">
        <f t="shared" si="60"/>
        <v>0</v>
      </c>
      <c r="AW159" s="42">
        <f t="shared" si="61"/>
        <v>0</v>
      </c>
      <c r="AX159" s="42">
        <f t="shared" si="62"/>
        <v>0</v>
      </c>
      <c r="AY159" s="45" t="s">
        <v>641</v>
      </c>
      <c r="AZ159" s="45" t="s">
        <v>660</v>
      </c>
      <c r="BA159" s="41" t="s">
        <v>664</v>
      </c>
      <c r="BC159" s="42">
        <f t="shared" si="63"/>
        <v>0</v>
      </c>
      <c r="BD159" s="42">
        <f t="shared" si="64"/>
        <v>0</v>
      </c>
      <c r="BE159" s="42">
        <v>0</v>
      </c>
      <c r="BF159" s="42">
        <f>157</f>
        <v>157</v>
      </c>
      <c r="BH159" s="24">
        <f t="shared" si="65"/>
        <v>0</v>
      </c>
      <c r="BI159" s="24">
        <f t="shared" si="66"/>
        <v>0</v>
      </c>
      <c r="BJ159" s="24">
        <f t="shared" si="67"/>
        <v>0</v>
      </c>
      <c r="BK159" s="24" t="s">
        <v>669</v>
      </c>
      <c r="BL159" s="42">
        <v>766</v>
      </c>
    </row>
    <row r="160" spans="1:64" x14ac:dyDescent="0.25">
      <c r="A160" s="4" t="s">
        <v>94</v>
      </c>
      <c r="B160" s="14" t="s">
        <v>249</v>
      </c>
      <c r="C160" s="136" t="s">
        <v>463</v>
      </c>
      <c r="D160" s="137"/>
      <c r="E160" s="137"/>
      <c r="F160" s="137"/>
      <c r="G160" s="14" t="s">
        <v>598</v>
      </c>
      <c r="H160" s="78">
        <v>1</v>
      </c>
      <c r="I160" s="24">
        <v>0</v>
      </c>
      <c r="J160" s="24">
        <f t="shared" si="46"/>
        <v>0</v>
      </c>
      <c r="K160" s="24">
        <f t="shared" si="47"/>
        <v>0</v>
      </c>
      <c r="L160" s="24">
        <f t="shared" si="48"/>
        <v>0</v>
      </c>
      <c r="M160" s="35" t="s">
        <v>616</v>
      </c>
      <c r="N160" s="5"/>
      <c r="Z160" s="42">
        <f t="shared" si="49"/>
        <v>0</v>
      </c>
      <c r="AB160" s="42">
        <f t="shared" si="50"/>
        <v>0</v>
      </c>
      <c r="AC160" s="42">
        <f t="shared" si="51"/>
        <v>0</v>
      </c>
      <c r="AD160" s="42">
        <f t="shared" si="52"/>
        <v>0</v>
      </c>
      <c r="AE160" s="42">
        <f t="shared" si="53"/>
        <v>0</v>
      </c>
      <c r="AF160" s="42">
        <f t="shared" si="54"/>
        <v>0</v>
      </c>
      <c r="AG160" s="42">
        <f t="shared" si="55"/>
        <v>0</v>
      </c>
      <c r="AH160" s="42">
        <f t="shared" si="56"/>
        <v>0</v>
      </c>
      <c r="AI160" s="41"/>
      <c r="AJ160" s="24">
        <f t="shared" si="57"/>
        <v>0</v>
      </c>
      <c r="AK160" s="24">
        <f t="shared" si="58"/>
        <v>0</v>
      </c>
      <c r="AL160" s="24">
        <f t="shared" si="59"/>
        <v>0</v>
      </c>
      <c r="AN160" s="42">
        <v>15</v>
      </c>
      <c r="AO160" s="42">
        <f>I160*0.0269813090687367</f>
        <v>0</v>
      </c>
      <c r="AP160" s="42">
        <f>I160*(1-0.0269813090687367)</f>
        <v>0</v>
      </c>
      <c r="AQ160" s="43" t="s">
        <v>13</v>
      </c>
      <c r="AV160" s="42">
        <f t="shared" si="60"/>
        <v>0</v>
      </c>
      <c r="AW160" s="42">
        <f t="shared" si="61"/>
        <v>0</v>
      </c>
      <c r="AX160" s="42">
        <f t="shared" si="62"/>
        <v>0</v>
      </c>
      <c r="AY160" s="45" t="s">
        <v>641</v>
      </c>
      <c r="AZ160" s="45" t="s">
        <v>660</v>
      </c>
      <c r="BA160" s="41" t="s">
        <v>664</v>
      </c>
      <c r="BC160" s="42">
        <f t="shared" si="63"/>
        <v>0</v>
      </c>
      <c r="BD160" s="42">
        <f t="shared" si="64"/>
        <v>0</v>
      </c>
      <c r="BE160" s="42">
        <v>0</v>
      </c>
      <c r="BF160" s="42">
        <f>158</f>
        <v>158</v>
      </c>
      <c r="BH160" s="24">
        <f t="shared" si="65"/>
        <v>0</v>
      </c>
      <c r="BI160" s="24">
        <f t="shared" si="66"/>
        <v>0</v>
      </c>
      <c r="BJ160" s="24">
        <f t="shared" si="67"/>
        <v>0</v>
      </c>
      <c r="BK160" s="24" t="s">
        <v>669</v>
      </c>
      <c r="BL160" s="42">
        <v>766</v>
      </c>
    </row>
    <row r="161" spans="1:64" x14ac:dyDescent="0.25">
      <c r="A161" s="7" t="s">
        <v>95</v>
      </c>
      <c r="B161" s="16" t="s">
        <v>250</v>
      </c>
      <c r="C161" s="143" t="s">
        <v>464</v>
      </c>
      <c r="D161" s="144"/>
      <c r="E161" s="144"/>
      <c r="F161" s="144"/>
      <c r="G161" s="16" t="s">
        <v>598</v>
      </c>
      <c r="H161" s="80">
        <v>1</v>
      </c>
      <c r="I161" s="25">
        <v>0</v>
      </c>
      <c r="J161" s="25">
        <f t="shared" si="46"/>
        <v>0</v>
      </c>
      <c r="K161" s="25">
        <f t="shared" si="47"/>
        <v>0</v>
      </c>
      <c r="L161" s="25">
        <f t="shared" si="48"/>
        <v>0</v>
      </c>
      <c r="M161" s="38" t="s">
        <v>616</v>
      </c>
      <c r="N161" s="5"/>
      <c r="Z161" s="42">
        <f t="shared" si="49"/>
        <v>0</v>
      </c>
      <c r="AB161" s="42">
        <f t="shared" si="50"/>
        <v>0</v>
      </c>
      <c r="AC161" s="42">
        <f t="shared" si="51"/>
        <v>0</v>
      </c>
      <c r="AD161" s="42">
        <f t="shared" si="52"/>
        <v>0</v>
      </c>
      <c r="AE161" s="42">
        <f t="shared" si="53"/>
        <v>0</v>
      </c>
      <c r="AF161" s="42">
        <f t="shared" si="54"/>
        <v>0</v>
      </c>
      <c r="AG161" s="42">
        <f t="shared" si="55"/>
        <v>0</v>
      </c>
      <c r="AH161" s="42">
        <f t="shared" si="56"/>
        <v>0</v>
      </c>
      <c r="AI161" s="41"/>
      <c r="AJ161" s="25">
        <f t="shared" si="57"/>
        <v>0</v>
      </c>
      <c r="AK161" s="25">
        <f t="shared" si="58"/>
        <v>0</v>
      </c>
      <c r="AL161" s="25">
        <f t="shared" si="59"/>
        <v>0</v>
      </c>
      <c r="AN161" s="42">
        <v>15</v>
      </c>
      <c r="AO161" s="42">
        <f>I161*1</f>
        <v>0</v>
      </c>
      <c r="AP161" s="42">
        <f>I161*(1-1)</f>
        <v>0</v>
      </c>
      <c r="AQ161" s="44" t="s">
        <v>13</v>
      </c>
      <c r="AV161" s="42">
        <f t="shared" si="60"/>
        <v>0</v>
      </c>
      <c r="AW161" s="42">
        <f t="shared" si="61"/>
        <v>0</v>
      </c>
      <c r="AX161" s="42">
        <f t="shared" si="62"/>
        <v>0</v>
      </c>
      <c r="AY161" s="45" t="s">
        <v>641</v>
      </c>
      <c r="AZ161" s="45" t="s">
        <v>660</v>
      </c>
      <c r="BA161" s="41" t="s">
        <v>664</v>
      </c>
      <c r="BC161" s="42">
        <f t="shared" si="63"/>
        <v>0</v>
      </c>
      <c r="BD161" s="42">
        <f t="shared" si="64"/>
        <v>0</v>
      </c>
      <c r="BE161" s="42">
        <v>0</v>
      </c>
      <c r="BF161" s="42">
        <f>159</f>
        <v>159</v>
      </c>
      <c r="BH161" s="25">
        <f t="shared" si="65"/>
        <v>0</v>
      </c>
      <c r="BI161" s="25">
        <f t="shared" si="66"/>
        <v>0</v>
      </c>
      <c r="BJ161" s="25">
        <f t="shared" si="67"/>
        <v>0</v>
      </c>
      <c r="BK161" s="25" t="s">
        <v>670</v>
      </c>
      <c r="BL161" s="42">
        <v>766</v>
      </c>
    </row>
    <row r="162" spans="1:64" x14ac:dyDescent="0.25">
      <c r="A162" s="7" t="s">
        <v>96</v>
      </c>
      <c r="B162" s="16" t="s">
        <v>251</v>
      </c>
      <c r="C162" s="143" t="s">
        <v>465</v>
      </c>
      <c r="D162" s="144"/>
      <c r="E162" s="144"/>
      <c r="F162" s="144"/>
      <c r="G162" s="16" t="s">
        <v>598</v>
      </c>
      <c r="H162" s="80">
        <v>2</v>
      </c>
      <c r="I162" s="25">
        <v>0</v>
      </c>
      <c r="J162" s="25">
        <f t="shared" si="46"/>
        <v>0</v>
      </c>
      <c r="K162" s="25">
        <f t="shared" si="47"/>
        <v>0</v>
      </c>
      <c r="L162" s="25">
        <f t="shared" si="48"/>
        <v>0</v>
      </c>
      <c r="M162" s="38"/>
      <c r="N162" s="5"/>
      <c r="Z162" s="42">
        <f t="shared" si="49"/>
        <v>0</v>
      </c>
      <c r="AB162" s="42">
        <f t="shared" si="50"/>
        <v>0</v>
      </c>
      <c r="AC162" s="42">
        <f t="shared" si="51"/>
        <v>0</v>
      </c>
      <c r="AD162" s="42">
        <f t="shared" si="52"/>
        <v>0</v>
      </c>
      <c r="AE162" s="42">
        <f t="shared" si="53"/>
        <v>0</v>
      </c>
      <c r="AF162" s="42">
        <f t="shared" si="54"/>
        <v>0</v>
      </c>
      <c r="AG162" s="42">
        <f t="shared" si="55"/>
        <v>0</v>
      </c>
      <c r="AH162" s="42">
        <f t="shared" si="56"/>
        <v>0</v>
      </c>
      <c r="AI162" s="41"/>
      <c r="AJ162" s="25">
        <f t="shared" si="57"/>
        <v>0</v>
      </c>
      <c r="AK162" s="25">
        <f t="shared" si="58"/>
        <v>0</v>
      </c>
      <c r="AL162" s="25">
        <f t="shared" si="59"/>
        <v>0</v>
      </c>
      <c r="AN162" s="42">
        <v>15</v>
      </c>
      <c r="AO162" s="42">
        <f>I162*1</f>
        <v>0</v>
      </c>
      <c r="AP162" s="42">
        <f>I162*(1-1)</f>
        <v>0</v>
      </c>
      <c r="AQ162" s="44" t="s">
        <v>13</v>
      </c>
      <c r="AV162" s="42">
        <f t="shared" si="60"/>
        <v>0</v>
      </c>
      <c r="AW162" s="42">
        <f t="shared" si="61"/>
        <v>0</v>
      </c>
      <c r="AX162" s="42">
        <f t="shared" si="62"/>
        <v>0</v>
      </c>
      <c r="AY162" s="45" t="s">
        <v>641</v>
      </c>
      <c r="AZ162" s="45" t="s">
        <v>660</v>
      </c>
      <c r="BA162" s="41" t="s">
        <v>664</v>
      </c>
      <c r="BC162" s="42">
        <f t="shared" si="63"/>
        <v>0</v>
      </c>
      <c r="BD162" s="42">
        <f t="shared" si="64"/>
        <v>0</v>
      </c>
      <c r="BE162" s="42">
        <v>0</v>
      </c>
      <c r="BF162" s="42">
        <f>160</f>
        <v>160</v>
      </c>
      <c r="BH162" s="25">
        <f t="shared" si="65"/>
        <v>0</v>
      </c>
      <c r="BI162" s="25">
        <f t="shared" si="66"/>
        <v>0</v>
      </c>
      <c r="BJ162" s="25">
        <f t="shared" si="67"/>
        <v>0</v>
      </c>
      <c r="BK162" s="25" t="s">
        <v>670</v>
      </c>
      <c r="BL162" s="42">
        <v>766</v>
      </c>
    </row>
    <row r="163" spans="1:64" x14ac:dyDescent="0.25">
      <c r="A163" s="4" t="s">
        <v>97</v>
      </c>
      <c r="B163" s="14" t="s">
        <v>252</v>
      </c>
      <c r="C163" s="136" t="s">
        <v>466</v>
      </c>
      <c r="D163" s="137"/>
      <c r="E163" s="137"/>
      <c r="F163" s="137"/>
      <c r="G163" s="14" t="s">
        <v>599</v>
      </c>
      <c r="H163" s="78">
        <v>1.5</v>
      </c>
      <c r="I163" s="24">
        <v>0</v>
      </c>
      <c r="J163" s="24">
        <f t="shared" si="46"/>
        <v>0</v>
      </c>
      <c r="K163" s="24">
        <f t="shared" si="47"/>
        <v>0</v>
      </c>
      <c r="L163" s="24">
        <f t="shared" si="48"/>
        <v>0</v>
      </c>
      <c r="M163" s="35" t="s">
        <v>616</v>
      </c>
      <c r="N163" s="5"/>
      <c r="Z163" s="42">
        <f t="shared" si="49"/>
        <v>0</v>
      </c>
      <c r="AB163" s="42">
        <f t="shared" si="50"/>
        <v>0</v>
      </c>
      <c r="AC163" s="42">
        <f t="shared" si="51"/>
        <v>0</v>
      </c>
      <c r="AD163" s="42">
        <f t="shared" si="52"/>
        <v>0</v>
      </c>
      <c r="AE163" s="42">
        <f t="shared" si="53"/>
        <v>0</v>
      </c>
      <c r="AF163" s="42">
        <f t="shared" si="54"/>
        <v>0</v>
      </c>
      <c r="AG163" s="42">
        <f t="shared" si="55"/>
        <v>0</v>
      </c>
      <c r="AH163" s="42">
        <f t="shared" si="56"/>
        <v>0</v>
      </c>
      <c r="AI163" s="41"/>
      <c r="AJ163" s="24">
        <f t="shared" si="57"/>
        <v>0</v>
      </c>
      <c r="AK163" s="24">
        <f t="shared" si="58"/>
        <v>0</v>
      </c>
      <c r="AL163" s="24">
        <f t="shared" si="59"/>
        <v>0</v>
      </c>
      <c r="AN163" s="42">
        <v>15</v>
      </c>
      <c r="AO163" s="42">
        <f>I163*0</f>
        <v>0</v>
      </c>
      <c r="AP163" s="42">
        <f>I163*(1-0)</f>
        <v>0</v>
      </c>
      <c r="AQ163" s="43" t="s">
        <v>11</v>
      </c>
      <c r="AV163" s="42">
        <f t="shared" si="60"/>
        <v>0</v>
      </c>
      <c r="AW163" s="42">
        <f t="shared" si="61"/>
        <v>0</v>
      </c>
      <c r="AX163" s="42">
        <f t="shared" si="62"/>
        <v>0</v>
      </c>
      <c r="AY163" s="45" t="s">
        <v>641</v>
      </c>
      <c r="AZ163" s="45" t="s">
        <v>660</v>
      </c>
      <c r="BA163" s="41" t="s">
        <v>664</v>
      </c>
      <c r="BC163" s="42">
        <f t="shared" si="63"/>
        <v>0</v>
      </c>
      <c r="BD163" s="42">
        <f t="shared" si="64"/>
        <v>0</v>
      </c>
      <c r="BE163" s="42">
        <v>0</v>
      </c>
      <c r="BF163" s="42">
        <f>161</f>
        <v>161</v>
      </c>
      <c r="BH163" s="24">
        <f t="shared" si="65"/>
        <v>0</v>
      </c>
      <c r="BI163" s="24">
        <f t="shared" si="66"/>
        <v>0</v>
      </c>
      <c r="BJ163" s="24">
        <f t="shared" si="67"/>
        <v>0</v>
      </c>
      <c r="BK163" s="24" t="s">
        <v>669</v>
      </c>
      <c r="BL163" s="42">
        <v>766</v>
      </c>
    </row>
    <row r="164" spans="1:64" x14ac:dyDescent="0.25">
      <c r="A164" s="6"/>
      <c r="B164" s="15" t="s">
        <v>253</v>
      </c>
      <c r="C164" s="141" t="s">
        <v>467</v>
      </c>
      <c r="D164" s="142"/>
      <c r="E164" s="142"/>
      <c r="F164" s="142"/>
      <c r="G164" s="22" t="s">
        <v>6</v>
      </c>
      <c r="H164" s="22" t="s">
        <v>6</v>
      </c>
      <c r="I164" s="22" t="s">
        <v>6</v>
      </c>
      <c r="J164" s="48">
        <f>SUM(J165:J167)</f>
        <v>0</v>
      </c>
      <c r="K164" s="48">
        <f>SUM(K165:K167)</f>
        <v>0</v>
      </c>
      <c r="L164" s="48">
        <f>SUM(L165:L167)</f>
        <v>0</v>
      </c>
      <c r="M164" s="37"/>
      <c r="N164" s="5"/>
      <c r="AI164" s="41"/>
      <c r="AS164" s="48">
        <f>SUM(AJ165:AJ167)</f>
        <v>0</v>
      </c>
      <c r="AT164" s="48">
        <f>SUM(AK165:AK167)</f>
        <v>0</v>
      </c>
      <c r="AU164" s="48">
        <f>SUM(AL165:AL167)</f>
        <v>0</v>
      </c>
    </row>
    <row r="165" spans="1:64" x14ac:dyDescent="0.25">
      <c r="A165" s="4" t="s">
        <v>98</v>
      </c>
      <c r="B165" s="14" t="s">
        <v>254</v>
      </c>
      <c r="C165" s="136" t="s">
        <v>468</v>
      </c>
      <c r="D165" s="137"/>
      <c r="E165" s="137"/>
      <c r="F165" s="137"/>
      <c r="G165" s="14" t="s">
        <v>598</v>
      </c>
      <c r="H165" s="78">
        <v>2</v>
      </c>
      <c r="I165" s="24">
        <v>0</v>
      </c>
      <c r="J165" s="24">
        <f>H165*AO165</f>
        <v>0</v>
      </c>
      <c r="K165" s="24">
        <f>H165*AP165</f>
        <v>0</v>
      </c>
      <c r="L165" s="24">
        <f>H165*I165</f>
        <v>0</v>
      </c>
      <c r="M165" s="35" t="s">
        <v>616</v>
      </c>
      <c r="N165" s="5"/>
      <c r="Z165" s="42">
        <f>IF(AQ165="5",BJ165,0)</f>
        <v>0</v>
      </c>
      <c r="AB165" s="42">
        <f>IF(AQ165="1",BH165,0)</f>
        <v>0</v>
      </c>
      <c r="AC165" s="42">
        <f>IF(AQ165="1",BI165,0)</f>
        <v>0</v>
      </c>
      <c r="AD165" s="42">
        <f>IF(AQ165="7",BH165,0)</f>
        <v>0</v>
      </c>
      <c r="AE165" s="42">
        <f>IF(AQ165="7",BI165,0)</f>
        <v>0</v>
      </c>
      <c r="AF165" s="42">
        <f>IF(AQ165="2",BH165,0)</f>
        <v>0</v>
      </c>
      <c r="AG165" s="42">
        <f>IF(AQ165="2",BI165,0)</f>
        <v>0</v>
      </c>
      <c r="AH165" s="42">
        <f>IF(AQ165="0",BJ165,0)</f>
        <v>0</v>
      </c>
      <c r="AI165" s="41"/>
      <c r="AJ165" s="24">
        <f>IF(AN165=0,L165,0)</f>
        <v>0</v>
      </c>
      <c r="AK165" s="24">
        <f>IF(AN165=15,L165,0)</f>
        <v>0</v>
      </c>
      <c r="AL165" s="24">
        <f>IF(AN165=21,L165,0)</f>
        <v>0</v>
      </c>
      <c r="AN165" s="42">
        <v>15</v>
      </c>
      <c r="AO165" s="42">
        <f>I165*0</f>
        <v>0</v>
      </c>
      <c r="AP165" s="42">
        <f>I165*(1-0)</f>
        <v>0</v>
      </c>
      <c r="AQ165" s="43" t="s">
        <v>13</v>
      </c>
      <c r="AV165" s="42">
        <f>AW165+AX165</f>
        <v>0</v>
      </c>
      <c r="AW165" s="42">
        <f>H165*AO165</f>
        <v>0</v>
      </c>
      <c r="AX165" s="42">
        <f>H165*AP165</f>
        <v>0</v>
      </c>
      <c r="AY165" s="45" t="s">
        <v>642</v>
      </c>
      <c r="AZ165" s="45" t="s">
        <v>660</v>
      </c>
      <c r="BA165" s="41" t="s">
        <v>664</v>
      </c>
      <c r="BC165" s="42">
        <f>AW165+AX165</f>
        <v>0</v>
      </c>
      <c r="BD165" s="42">
        <f>I165/(100-BE165)*100</f>
        <v>0</v>
      </c>
      <c r="BE165" s="42">
        <v>0</v>
      </c>
      <c r="BF165" s="42">
        <f>163</f>
        <v>163</v>
      </c>
      <c r="BH165" s="24">
        <f>H165*AO165</f>
        <v>0</v>
      </c>
      <c r="BI165" s="24">
        <f>H165*AP165</f>
        <v>0</v>
      </c>
      <c r="BJ165" s="24">
        <f>H165*I165</f>
        <v>0</v>
      </c>
      <c r="BK165" s="24" t="s">
        <v>669</v>
      </c>
      <c r="BL165" s="42">
        <v>767</v>
      </c>
    </row>
    <row r="166" spans="1:64" x14ac:dyDescent="0.25">
      <c r="A166" s="7" t="s">
        <v>99</v>
      </c>
      <c r="B166" s="16" t="s">
        <v>255</v>
      </c>
      <c r="C166" s="143" t="s">
        <v>469</v>
      </c>
      <c r="D166" s="144"/>
      <c r="E166" s="144"/>
      <c r="F166" s="144"/>
      <c r="G166" s="16" t="s">
        <v>598</v>
      </c>
      <c r="H166" s="80">
        <v>2</v>
      </c>
      <c r="I166" s="25">
        <v>0</v>
      </c>
      <c r="J166" s="25">
        <f>H166*AO166</f>
        <v>0</v>
      </c>
      <c r="K166" s="25">
        <f>H166*AP166</f>
        <v>0</v>
      </c>
      <c r="L166" s="25">
        <f>H166*I166</f>
        <v>0</v>
      </c>
      <c r="M166" s="38" t="s">
        <v>616</v>
      </c>
      <c r="N166" s="5"/>
      <c r="Z166" s="42">
        <f>IF(AQ166="5",BJ166,0)</f>
        <v>0</v>
      </c>
      <c r="AB166" s="42">
        <f>IF(AQ166="1",BH166,0)</f>
        <v>0</v>
      </c>
      <c r="AC166" s="42">
        <f>IF(AQ166="1",BI166,0)</f>
        <v>0</v>
      </c>
      <c r="AD166" s="42">
        <f>IF(AQ166="7",BH166,0)</f>
        <v>0</v>
      </c>
      <c r="AE166" s="42">
        <f>IF(AQ166="7",BI166,0)</f>
        <v>0</v>
      </c>
      <c r="AF166" s="42">
        <f>IF(AQ166="2",BH166,0)</f>
        <v>0</v>
      </c>
      <c r="AG166" s="42">
        <f>IF(AQ166="2",BI166,0)</f>
        <v>0</v>
      </c>
      <c r="AH166" s="42">
        <f>IF(AQ166="0",BJ166,0)</f>
        <v>0</v>
      </c>
      <c r="AI166" s="41"/>
      <c r="AJ166" s="25">
        <f>IF(AN166=0,L166,0)</f>
        <v>0</v>
      </c>
      <c r="AK166" s="25">
        <f>IF(AN166=15,L166,0)</f>
        <v>0</v>
      </c>
      <c r="AL166" s="25">
        <f>IF(AN166=21,L166,0)</f>
        <v>0</v>
      </c>
      <c r="AN166" s="42">
        <v>15</v>
      </c>
      <c r="AO166" s="42">
        <f>I166*1</f>
        <v>0</v>
      </c>
      <c r="AP166" s="42">
        <f>I166*(1-1)</f>
        <v>0</v>
      </c>
      <c r="AQ166" s="44" t="s">
        <v>13</v>
      </c>
      <c r="AV166" s="42">
        <f>AW166+AX166</f>
        <v>0</v>
      </c>
      <c r="AW166" s="42">
        <f>H166*AO166</f>
        <v>0</v>
      </c>
      <c r="AX166" s="42">
        <f>H166*AP166</f>
        <v>0</v>
      </c>
      <c r="AY166" s="45" t="s">
        <v>642</v>
      </c>
      <c r="AZ166" s="45" t="s">
        <v>660</v>
      </c>
      <c r="BA166" s="41" t="s">
        <v>664</v>
      </c>
      <c r="BC166" s="42">
        <f>AW166+AX166</f>
        <v>0</v>
      </c>
      <c r="BD166" s="42">
        <f>I166/(100-BE166)*100</f>
        <v>0</v>
      </c>
      <c r="BE166" s="42">
        <v>0</v>
      </c>
      <c r="BF166" s="42">
        <f>164</f>
        <v>164</v>
      </c>
      <c r="BH166" s="25">
        <f>H166*AO166</f>
        <v>0</v>
      </c>
      <c r="BI166" s="25">
        <f>H166*AP166</f>
        <v>0</v>
      </c>
      <c r="BJ166" s="25">
        <f>H166*I166</f>
        <v>0</v>
      </c>
      <c r="BK166" s="25" t="s">
        <v>670</v>
      </c>
      <c r="BL166" s="42">
        <v>767</v>
      </c>
    </row>
    <row r="167" spans="1:64" x14ac:dyDescent="0.25">
      <c r="A167" s="4" t="s">
        <v>100</v>
      </c>
      <c r="B167" s="14" t="s">
        <v>256</v>
      </c>
      <c r="C167" s="136" t="s">
        <v>470</v>
      </c>
      <c r="D167" s="137"/>
      <c r="E167" s="137"/>
      <c r="F167" s="137"/>
      <c r="G167" s="14" t="s">
        <v>599</v>
      </c>
      <c r="H167" s="78">
        <v>2</v>
      </c>
      <c r="I167" s="24">
        <v>0</v>
      </c>
      <c r="J167" s="24">
        <f>H167*AO167</f>
        <v>0</v>
      </c>
      <c r="K167" s="24">
        <f>H167*AP167</f>
        <v>0</v>
      </c>
      <c r="L167" s="24">
        <f>H167*I167</f>
        <v>0</v>
      </c>
      <c r="M167" s="35" t="s">
        <v>616</v>
      </c>
      <c r="N167" s="5"/>
      <c r="Z167" s="42">
        <f>IF(AQ167="5",BJ167,0)</f>
        <v>0</v>
      </c>
      <c r="AB167" s="42">
        <f>IF(AQ167="1",BH167,0)</f>
        <v>0</v>
      </c>
      <c r="AC167" s="42">
        <f>IF(AQ167="1",BI167,0)</f>
        <v>0</v>
      </c>
      <c r="AD167" s="42">
        <f>IF(AQ167="7",BH167,0)</f>
        <v>0</v>
      </c>
      <c r="AE167" s="42">
        <f>IF(AQ167="7",BI167,0)</f>
        <v>0</v>
      </c>
      <c r="AF167" s="42">
        <f>IF(AQ167="2",BH167,0)</f>
        <v>0</v>
      </c>
      <c r="AG167" s="42">
        <f>IF(AQ167="2",BI167,0)</f>
        <v>0</v>
      </c>
      <c r="AH167" s="42">
        <f>IF(AQ167="0",BJ167,0)</f>
        <v>0</v>
      </c>
      <c r="AI167" s="41"/>
      <c r="AJ167" s="24">
        <f>IF(AN167=0,L167,0)</f>
        <v>0</v>
      </c>
      <c r="AK167" s="24">
        <f>IF(AN167=15,L167,0)</f>
        <v>0</v>
      </c>
      <c r="AL167" s="24">
        <f>IF(AN167=21,L167,0)</f>
        <v>0</v>
      </c>
      <c r="AN167" s="42">
        <v>15</v>
      </c>
      <c r="AO167" s="42">
        <f>I167*0</f>
        <v>0</v>
      </c>
      <c r="AP167" s="42">
        <f>I167*(1-0)</f>
        <v>0</v>
      </c>
      <c r="AQ167" s="43" t="s">
        <v>11</v>
      </c>
      <c r="AV167" s="42">
        <f>AW167+AX167</f>
        <v>0</v>
      </c>
      <c r="AW167" s="42">
        <f>H167*AO167</f>
        <v>0</v>
      </c>
      <c r="AX167" s="42">
        <f>H167*AP167</f>
        <v>0</v>
      </c>
      <c r="AY167" s="45" t="s">
        <v>642</v>
      </c>
      <c r="AZ167" s="45" t="s">
        <v>660</v>
      </c>
      <c r="BA167" s="41" t="s">
        <v>664</v>
      </c>
      <c r="BC167" s="42">
        <f>AW167+AX167</f>
        <v>0</v>
      </c>
      <c r="BD167" s="42">
        <f>I167/(100-BE167)*100</f>
        <v>0</v>
      </c>
      <c r="BE167" s="42">
        <v>0</v>
      </c>
      <c r="BF167" s="42">
        <f>165</f>
        <v>165</v>
      </c>
      <c r="BH167" s="24">
        <f>H167*AO167</f>
        <v>0</v>
      </c>
      <c r="BI167" s="24">
        <f>H167*AP167</f>
        <v>0</v>
      </c>
      <c r="BJ167" s="24">
        <f>H167*I167</f>
        <v>0</v>
      </c>
      <c r="BK167" s="24" t="s">
        <v>669</v>
      </c>
      <c r="BL167" s="42">
        <v>767</v>
      </c>
    </row>
    <row r="168" spans="1:64" x14ac:dyDescent="0.25">
      <c r="A168" s="6"/>
      <c r="B168" s="15" t="s">
        <v>257</v>
      </c>
      <c r="C168" s="141" t="s">
        <v>471</v>
      </c>
      <c r="D168" s="142"/>
      <c r="E168" s="142"/>
      <c r="F168" s="142"/>
      <c r="G168" s="22" t="s">
        <v>6</v>
      </c>
      <c r="H168" s="22" t="s">
        <v>6</v>
      </c>
      <c r="I168" s="22" t="s">
        <v>6</v>
      </c>
      <c r="J168" s="48">
        <f>SUM(J169:J179)</f>
        <v>0</v>
      </c>
      <c r="K168" s="48">
        <f>SUM(K169:K179)</f>
        <v>0</v>
      </c>
      <c r="L168" s="48">
        <f>SUM(L169:L179)</f>
        <v>0</v>
      </c>
      <c r="M168" s="37"/>
      <c r="N168" s="5"/>
      <c r="AI168" s="41"/>
      <c r="AS168" s="48">
        <f>SUM(AJ169:AJ179)</f>
        <v>0</v>
      </c>
      <c r="AT168" s="48">
        <f>SUM(AK169:AK179)</f>
        <v>0</v>
      </c>
      <c r="AU168" s="48">
        <f>SUM(AL169:AL179)</f>
        <v>0</v>
      </c>
    </row>
    <row r="169" spans="1:64" x14ac:dyDescent="0.25">
      <c r="A169" s="4" t="s">
        <v>101</v>
      </c>
      <c r="B169" s="14" t="s">
        <v>258</v>
      </c>
      <c r="C169" s="136" t="s">
        <v>472</v>
      </c>
      <c r="D169" s="137"/>
      <c r="E169" s="137"/>
      <c r="F169" s="137"/>
      <c r="G169" s="14" t="s">
        <v>595</v>
      </c>
      <c r="H169" s="78">
        <v>3.7829999999999999</v>
      </c>
      <c r="I169" s="24">
        <v>0</v>
      </c>
      <c r="J169" s="24">
        <f>H169*AO169</f>
        <v>0</v>
      </c>
      <c r="K169" s="24">
        <f>H169*AP169</f>
        <v>0</v>
      </c>
      <c r="L169" s="24">
        <f>H169*I169</f>
        <v>0</v>
      </c>
      <c r="M169" s="35" t="s">
        <v>616</v>
      </c>
      <c r="N169" s="5"/>
      <c r="Z169" s="42">
        <f>IF(AQ169="5",BJ169,0)</f>
        <v>0</v>
      </c>
      <c r="AB169" s="42">
        <f>IF(AQ169="1",BH169,0)</f>
        <v>0</v>
      </c>
      <c r="AC169" s="42">
        <f>IF(AQ169="1",BI169,0)</f>
        <v>0</v>
      </c>
      <c r="AD169" s="42">
        <f>IF(AQ169="7",BH169,0)</f>
        <v>0</v>
      </c>
      <c r="AE169" s="42">
        <f>IF(AQ169="7",BI169,0)</f>
        <v>0</v>
      </c>
      <c r="AF169" s="42">
        <f>IF(AQ169="2",BH169,0)</f>
        <v>0</v>
      </c>
      <c r="AG169" s="42">
        <f>IF(AQ169="2",BI169,0)</f>
        <v>0</v>
      </c>
      <c r="AH169" s="42">
        <f>IF(AQ169="0",BJ169,0)</f>
        <v>0</v>
      </c>
      <c r="AI169" s="41"/>
      <c r="AJ169" s="24">
        <f>IF(AN169=0,L169,0)</f>
        <v>0</v>
      </c>
      <c r="AK169" s="24">
        <f>IF(AN169=15,L169,0)</f>
        <v>0</v>
      </c>
      <c r="AL169" s="24">
        <f>IF(AN169=21,L169,0)</f>
        <v>0</v>
      </c>
      <c r="AN169" s="42">
        <v>15</v>
      </c>
      <c r="AO169" s="42">
        <f>I169*0.496944230887477</f>
        <v>0</v>
      </c>
      <c r="AP169" s="42">
        <f>I169*(1-0.496944230887477)</f>
        <v>0</v>
      </c>
      <c r="AQ169" s="43" t="s">
        <v>13</v>
      </c>
      <c r="AV169" s="42">
        <f>AW169+AX169</f>
        <v>0</v>
      </c>
      <c r="AW169" s="42">
        <f>H169*AO169</f>
        <v>0</v>
      </c>
      <c r="AX169" s="42">
        <f>H169*AP169</f>
        <v>0</v>
      </c>
      <c r="AY169" s="45" t="s">
        <v>643</v>
      </c>
      <c r="AZ169" s="45" t="s">
        <v>661</v>
      </c>
      <c r="BA169" s="41" t="s">
        <v>664</v>
      </c>
      <c r="BC169" s="42">
        <f>AW169+AX169</f>
        <v>0</v>
      </c>
      <c r="BD169" s="42">
        <f>I169/(100-BE169)*100</f>
        <v>0</v>
      </c>
      <c r="BE169" s="42">
        <v>0</v>
      </c>
      <c r="BF169" s="42">
        <f>167</f>
        <v>167</v>
      </c>
      <c r="BH169" s="24">
        <f>H169*AO169</f>
        <v>0</v>
      </c>
      <c r="BI169" s="24">
        <f>H169*AP169</f>
        <v>0</v>
      </c>
      <c r="BJ169" s="24">
        <f>H169*I169</f>
        <v>0</v>
      </c>
      <c r="BK169" s="24" t="s">
        <v>669</v>
      </c>
      <c r="BL169" s="42">
        <v>771</v>
      </c>
    </row>
    <row r="170" spans="1:64" x14ac:dyDescent="0.25">
      <c r="A170" s="5"/>
      <c r="C170" s="18" t="s">
        <v>369</v>
      </c>
      <c r="F170" s="20"/>
      <c r="H170" s="79">
        <v>2.7490000000000001</v>
      </c>
      <c r="M170" s="36"/>
      <c r="N170" s="5"/>
    </row>
    <row r="171" spans="1:64" x14ac:dyDescent="0.25">
      <c r="A171" s="5"/>
      <c r="C171" s="18" t="s">
        <v>370</v>
      </c>
      <c r="F171" s="20"/>
      <c r="H171" s="79">
        <v>1.034</v>
      </c>
      <c r="M171" s="36"/>
      <c r="N171" s="5"/>
    </row>
    <row r="172" spans="1:64" x14ac:dyDescent="0.25">
      <c r="A172" s="4" t="s">
        <v>102</v>
      </c>
      <c r="B172" s="14" t="s">
        <v>259</v>
      </c>
      <c r="C172" s="136" t="s">
        <v>473</v>
      </c>
      <c r="D172" s="137"/>
      <c r="E172" s="137"/>
      <c r="F172" s="137"/>
      <c r="G172" s="14" t="s">
        <v>595</v>
      </c>
      <c r="H172" s="78">
        <v>3.7829999999999999</v>
      </c>
      <c r="I172" s="24">
        <v>0</v>
      </c>
      <c r="J172" s="24">
        <f>H172*AO172</f>
        <v>0</v>
      </c>
      <c r="K172" s="24">
        <f>H172*AP172</f>
        <v>0</v>
      </c>
      <c r="L172" s="24">
        <f>H172*I172</f>
        <v>0</v>
      </c>
      <c r="M172" s="35" t="s">
        <v>616</v>
      </c>
      <c r="N172" s="5"/>
      <c r="Z172" s="42">
        <f>IF(AQ172="5",BJ172,0)</f>
        <v>0</v>
      </c>
      <c r="AB172" s="42">
        <f>IF(AQ172="1",BH172,0)</f>
        <v>0</v>
      </c>
      <c r="AC172" s="42">
        <f>IF(AQ172="1",BI172,0)</f>
        <v>0</v>
      </c>
      <c r="AD172" s="42">
        <f>IF(AQ172="7",BH172,0)</f>
        <v>0</v>
      </c>
      <c r="AE172" s="42">
        <f>IF(AQ172="7",BI172,0)</f>
        <v>0</v>
      </c>
      <c r="AF172" s="42">
        <f>IF(AQ172="2",BH172,0)</f>
        <v>0</v>
      </c>
      <c r="AG172" s="42">
        <f>IF(AQ172="2",BI172,0)</f>
        <v>0</v>
      </c>
      <c r="AH172" s="42">
        <f>IF(AQ172="0",BJ172,0)</f>
        <v>0</v>
      </c>
      <c r="AI172" s="41"/>
      <c r="AJ172" s="24">
        <f>IF(AN172=0,L172,0)</f>
        <v>0</v>
      </c>
      <c r="AK172" s="24">
        <f>IF(AN172=15,L172,0)</f>
        <v>0</v>
      </c>
      <c r="AL172" s="24">
        <f>IF(AN172=21,L172,0)</f>
        <v>0</v>
      </c>
      <c r="AN172" s="42">
        <v>15</v>
      </c>
      <c r="AO172" s="42">
        <f>I172*0.208796428933351</f>
        <v>0</v>
      </c>
      <c r="AP172" s="42">
        <f>I172*(1-0.208796428933351)</f>
        <v>0</v>
      </c>
      <c r="AQ172" s="43" t="s">
        <v>13</v>
      </c>
      <c r="AV172" s="42">
        <f>AW172+AX172</f>
        <v>0</v>
      </c>
      <c r="AW172" s="42">
        <f>H172*AO172</f>
        <v>0</v>
      </c>
      <c r="AX172" s="42">
        <f>H172*AP172</f>
        <v>0</v>
      </c>
      <c r="AY172" s="45" t="s">
        <v>643</v>
      </c>
      <c r="AZ172" s="45" t="s">
        <v>661</v>
      </c>
      <c r="BA172" s="41" t="s">
        <v>664</v>
      </c>
      <c r="BC172" s="42">
        <f>AW172+AX172</f>
        <v>0</v>
      </c>
      <c r="BD172" s="42">
        <f>I172/(100-BE172)*100</f>
        <v>0</v>
      </c>
      <c r="BE172" s="42">
        <v>0</v>
      </c>
      <c r="BF172" s="42">
        <f>170</f>
        <v>170</v>
      </c>
      <c r="BH172" s="24">
        <f>H172*AO172</f>
        <v>0</v>
      </c>
      <c r="BI172" s="24">
        <f>H172*AP172</f>
        <v>0</v>
      </c>
      <c r="BJ172" s="24">
        <f>H172*I172</f>
        <v>0</v>
      </c>
      <c r="BK172" s="24" t="s">
        <v>669</v>
      </c>
      <c r="BL172" s="42">
        <v>771</v>
      </c>
    </row>
    <row r="173" spans="1:64" x14ac:dyDescent="0.25">
      <c r="A173" s="5"/>
      <c r="C173" s="18" t="s">
        <v>369</v>
      </c>
      <c r="F173" s="20"/>
      <c r="H173" s="79">
        <v>2.7490000000000001</v>
      </c>
      <c r="M173" s="36"/>
      <c r="N173" s="5"/>
    </row>
    <row r="174" spans="1:64" x14ac:dyDescent="0.25">
      <c r="A174" s="5"/>
      <c r="C174" s="18" t="s">
        <v>370</v>
      </c>
      <c r="F174" s="20"/>
      <c r="H174" s="79">
        <v>1.034</v>
      </c>
      <c r="M174" s="36"/>
      <c r="N174" s="5"/>
    </row>
    <row r="175" spans="1:64" x14ac:dyDescent="0.25">
      <c r="A175" s="7" t="s">
        <v>103</v>
      </c>
      <c r="B175" s="16" t="s">
        <v>260</v>
      </c>
      <c r="C175" s="143" t="s">
        <v>474</v>
      </c>
      <c r="D175" s="144"/>
      <c r="E175" s="144"/>
      <c r="F175" s="144"/>
      <c r="G175" s="16" t="s">
        <v>595</v>
      </c>
      <c r="H175" s="80">
        <v>3.859</v>
      </c>
      <c r="I175" s="25">
        <v>0</v>
      </c>
      <c r="J175" s="25">
        <f>H175*AO175</f>
        <v>0</v>
      </c>
      <c r="K175" s="25">
        <f>H175*AP175</f>
        <v>0</v>
      </c>
      <c r="L175" s="25">
        <f>H175*I175</f>
        <v>0</v>
      </c>
      <c r="M175" s="38" t="s">
        <v>616</v>
      </c>
      <c r="N175" s="5"/>
      <c r="Z175" s="42">
        <f>IF(AQ175="5",BJ175,0)</f>
        <v>0</v>
      </c>
      <c r="AB175" s="42">
        <f>IF(AQ175="1",BH175,0)</f>
        <v>0</v>
      </c>
      <c r="AC175" s="42">
        <f>IF(AQ175="1",BI175,0)</f>
        <v>0</v>
      </c>
      <c r="AD175" s="42">
        <f>IF(AQ175="7",BH175,0)</f>
        <v>0</v>
      </c>
      <c r="AE175" s="42">
        <f>IF(AQ175="7",BI175,0)</f>
        <v>0</v>
      </c>
      <c r="AF175" s="42">
        <f>IF(AQ175="2",BH175,0)</f>
        <v>0</v>
      </c>
      <c r="AG175" s="42">
        <f>IF(AQ175="2",BI175,0)</f>
        <v>0</v>
      </c>
      <c r="AH175" s="42">
        <f>IF(AQ175="0",BJ175,0)</f>
        <v>0</v>
      </c>
      <c r="AI175" s="41"/>
      <c r="AJ175" s="25">
        <f>IF(AN175=0,L175,0)</f>
        <v>0</v>
      </c>
      <c r="AK175" s="25">
        <f>IF(AN175=15,L175,0)</f>
        <v>0</v>
      </c>
      <c r="AL175" s="25">
        <f>IF(AN175=21,L175,0)</f>
        <v>0</v>
      </c>
      <c r="AN175" s="42">
        <v>15</v>
      </c>
      <c r="AO175" s="42">
        <f>I175*1</f>
        <v>0</v>
      </c>
      <c r="AP175" s="42">
        <f>I175*(1-1)</f>
        <v>0</v>
      </c>
      <c r="AQ175" s="44" t="s">
        <v>13</v>
      </c>
      <c r="AV175" s="42">
        <f>AW175+AX175</f>
        <v>0</v>
      </c>
      <c r="AW175" s="42">
        <f>H175*AO175</f>
        <v>0</v>
      </c>
      <c r="AX175" s="42">
        <f>H175*AP175</f>
        <v>0</v>
      </c>
      <c r="AY175" s="45" t="s">
        <v>643</v>
      </c>
      <c r="AZ175" s="45" t="s">
        <v>661</v>
      </c>
      <c r="BA175" s="41" t="s">
        <v>664</v>
      </c>
      <c r="BC175" s="42">
        <f>AW175+AX175</f>
        <v>0</v>
      </c>
      <c r="BD175" s="42">
        <f>I175/(100-BE175)*100</f>
        <v>0</v>
      </c>
      <c r="BE175" s="42">
        <v>0</v>
      </c>
      <c r="BF175" s="42">
        <f>173</f>
        <v>173</v>
      </c>
      <c r="BH175" s="25">
        <f>H175*AO175</f>
        <v>0</v>
      </c>
      <c r="BI175" s="25">
        <f>H175*AP175</f>
        <v>0</v>
      </c>
      <c r="BJ175" s="25">
        <f>H175*I175</f>
        <v>0</v>
      </c>
      <c r="BK175" s="25" t="s">
        <v>670</v>
      </c>
      <c r="BL175" s="42">
        <v>771</v>
      </c>
    </row>
    <row r="176" spans="1:64" x14ac:dyDescent="0.25">
      <c r="A176" s="5"/>
      <c r="C176" s="18" t="s">
        <v>475</v>
      </c>
      <c r="F176" s="20"/>
      <c r="H176" s="79">
        <v>2.8039999999999998</v>
      </c>
      <c r="M176" s="36"/>
      <c r="N176" s="5"/>
    </row>
    <row r="177" spans="1:64" x14ac:dyDescent="0.25">
      <c r="A177" s="5"/>
      <c r="C177" s="18" t="s">
        <v>476</v>
      </c>
      <c r="F177" s="20"/>
      <c r="H177" s="79">
        <v>1.0549999999999999</v>
      </c>
      <c r="M177" s="36"/>
      <c r="N177" s="5"/>
    </row>
    <row r="178" spans="1:64" x14ac:dyDescent="0.25">
      <c r="A178" s="4" t="s">
        <v>104</v>
      </c>
      <c r="B178" s="14" t="s">
        <v>261</v>
      </c>
      <c r="C178" s="136" t="s">
        <v>477</v>
      </c>
      <c r="D178" s="137"/>
      <c r="E178" s="137"/>
      <c r="F178" s="137"/>
      <c r="G178" s="14" t="s">
        <v>595</v>
      </c>
      <c r="H178" s="78">
        <v>3.7829999999999999</v>
      </c>
      <c r="I178" s="24">
        <v>0</v>
      </c>
      <c r="J178" s="24">
        <f>H178*AO178</f>
        <v>0</v>
      </c>
      <c r="K178" s="24">
        <f>H178*AP178</f>
        <v>0</v>
      </c>
      <c r="L178" s="24">
        <f>H178*I178</f>
        <v>0</v>
      </c>
      <c r="M178" s="35" t="s">
        <v>616</v>
      </c>
      <c r="N178" s="5"/>
      <c r="Z178" s="42">
        <f>IF(AQ178="5",BJ178,0)</f>
        <v>0</v>
      </c>
      <c r="AB178" s="42">
        <f>IF(AQ178="1",BH178,0)</f>
        <v>0</v>
      </c>
      <c r="AC178" s="42">
        <f>IF(AQ178="1",BI178,0)</f>
        <v>0</v>
      </c>
      <c r="AD178" s="42">
        <f>IF(AQ178="7",BH178,0)</f>
        <v>0</v>
      </c>
      <c r="AE178" s="42">
        <f>IF(AQ178="7",BI178,0)</f>
        <v>0</v>
      </c>
      <c r="AF178" s="42">
        <f>IF(AQ178="2",BH178,0)</f>
        <v>0</v>
      </c>
      <c r="AG178" s="42">
        <f>IF(AQ178="2",BI178,0)</f>
        <v>0</v>
      </c>
      <c r="AH178" s="42">
        <f>IF(AQ178="0",BJ178,0)</f>
        <v>0</v>
      </c>
      <c r="AI178" s="41"/>
      <c r="AJ178" s="24">
        <f>IF(AN178=0,L178,0)</f>
        <v>0</v>
      </c>
      <c r="AK178" s="24">
        <f>IF(AN178=15,L178,0)</f>
        <v>0</v>
      </c>
      <c r="AL178" s="24">
        <f>IF(AN178=21,L178,0)</f>
        <v>0</v>
      </c>
      <c r="AN178" s="42">
        <v>15</v>
      </c>
      <c r="AO178" s="42">
        <f>I178*0</f>
        <v>0</v>
      </c>
      <c r="AP178" s="42">
        <f>I178*(1-0)</f>
        <v>0</v>
      </c>
      <c r="AQ178" s="43" t="s">
        <v>13</v>
      </c>
      <c r="AV178" s="42">
        <f>AW178+AX178</f>
        <v>0</v>
      </c>
      <c r="AW178" s="42">
        <f>H178*AO178</f>
        <v>0</v>
      </c>
      <c r="AX178" s="42">
        <f>H178*AP178</f>
        <v>0</v>
      </c>
      <c r="AY178" s="45" t="s">
        <v>643</v>
      </c>
      <c r="AZ178" s="45" t="s">
        <v>661</v>
      </c>
      <c r="BA178" s="41" t="s">
        <v>664</v>
      </c>
      <c r="BC178" s="42">
        <f>AW178+AX178</f>
        <v>0</v>
      </c>
      <c r="BD178" s="42">
        <f>I178/(100-BE178)*100</f>
        <v>0</v>
      </c>
      <c r="BE178" s="42">
        <v>0</v>
      </c>
      <c r="BF178" s="42">
        <f>176</f>
        <v>176</v>
      </c>
      <c r="BH178" s="24">
        <f>H178*AO178</f>
        <v>0</v>
      </c>
      <c r="BI178" s="24">
        <f>H178*AP178</f>
        <v>0</v>
      </c>
      <c r="BJ178" s="24">
        <f>H178*I178</f>
        <v>0</v>
      </c>
      <c r="BK178" s="24" t="s">
        <v>669</v>
      </c>
      <c r="BL178" s="42">
        <v>771</v>
      </c>
    </row>
    <row r="179" spans="1:64" x14ac:dyDescent="0.25">
      <c r="A179" s="4" t="s">
        <v>105</v>
      </c>
      <c r="B179" s="14" t="s">
        <v>262</v>
      </c>
      <c r="C179" s="136" t="s">
        <v>478</v>
      </c>
      <c r="D179" s="137"/>
      <c r="E179" s="137"/>
      <c r="F179" s="137"/>
      <c r="G179" s="14" t="s">
        <v>599</v>
      </c>
      <c r="H179" s="78">
        <v>6.7</v>
      </c>
      <c r="I179" s="24">
        <v>0</v>
      </c>
      <c r="J179" s="24">
        <f>H179*AO179</f>
        <v>0</v>
      </c>
      <c r="K179" s="24">
        <f>H179*AP179</f>
        <v>0</v>
      </c>
      <c r="L179" s="24">
        <f>H179*I179</f>
        <v>0</v>
      </c>
      <c r="M179" s="35" t="s">
        <v>616</v>
      </c>
      <c r="N179" s="5"/>
      <c r="Z179" s="42">
        <f>IF(AQ179="5",BJ179,0)</f>
        <v>0</v>
      </c>
      <c r="AB179" s="42">
        <f>IF(AQ179="1",BH179,0)</f>
        <v>0</v>
      </c>
      <c r="AC179" s="42">
        <f>IF(AQ179="1",BI179,0)</f>
        <v>0</v>
      </c>
      <c r="AD179" s="42">
        <f>IF(AQ179="7",BH179,0)</f>
        <v>0</v>
      </c>
      <c r="AE179" s="42">
        <f>IF(AQ179="7",BI179,0)</f>
        <v>0</v>
      </c>
      <c r="AF179" s="42">
        <f>IF(AQ179="2",BH179,0)</f>
        <v>0</v>
      </c>
      <c r="AG179" s="42">
        <f>IF(AQ179="2",BI179,0)</f>
        <v>0</v>
      </c>
      <c r="AH179" s="42">
        <f>IF(AQ179="0",BJ179,0)</f>
        <v>0</v>
      </c>
      <c r="AI179" s="41"/>
      <c r="AJ179" s="24">
        <f>IF(AN179=0,L179,0)</f>
        <v>0</v>
      </c>
      <c r="AK179" s="24">
        <f>IF(AN179=15,L179,0)</f>
        <v>0</v>
      </c>
      <c r="AL179" s="24">
        <f>IF(AN179=21,L179,0)</f>
        <v>0</v>
      </c>
      <c r="AN179" s="42">
        <v>15</v>
      </c>
      <c r="AO179" s="42">
        <f>I179*0</f>
        <v>0</v>
      </c>
      <c r="AP179" s="42">
        <f>I179*(1-0)</f>
        <v>0</v>
      </c>
      <c r="AQ179" s="43" t="s">
        <v>11</v>
      </c>
      <c r="AV179" s="42">
        <f>AW179+AX179</f>
        <v>0</v>
      </c>
      <c r="AW179" s="42">
        <f>H179*AO179</f>
        <v>0</v>
      </c>
      <c r="AX179" s="42">
        <f>H179*AP179</f>
        <v>0</v>
      </c>
      <c r="AY179" s="45" t="s">
        <v>643</v>
      </c>
      <c r="AZ179" s="45" t="s">
        <v>661</v>
      </c>
      <c r="BA179" s="41" t="s">
        <v>664</v>
      </c>
      <c r="BC179" s="42">
        <f>AW179+AX179</f>
        <v>0</v>
      </c>
      <c r="BD179" s="42">
        <f>I179/(100-BE179)*100</f>
        <v>0</v>
      </c>
      <c r="BE179" s="42">
        <v>0</v>
      </c>
      <c r="BF179" s="42">
        <f>177</f>
        <v>177</v>
      </c>
      <c r="BH179" s="24">
        <f>H179*AO179</f>
        <v>0</v>
      </c>
      <c r="BI179" s="24">
        <f>H179*AP179</f>
        <v>0</v>
      </c>
      <c r="BJ179" s="24">
        <f>H179*I179</f>
        <v>0</v>
      </c>
      <c r="BK179" s="24" t="s">
        <v>669</v>
      </c>
      <c r="BL179" s="42">
        <v>771</v>
      </c>
    </row>
    <row r="180" spans="1:64" x14ac:dyDescent="0.25">
      <c r="A180" s="6"/>
      <c r="B180" s="15" t="s">
        <v>263</v>
      </c>
      <c r="C180" s="141" t="s">
        <v>479</v>
      </c>
      <c r="D180" s="142"/>
      <c r="E180" s="142"/>
      <c r="F180" s="142"/>
      <c r="G180" s="22" t="s">
        <v>6</v>
      </c>
      <c r="H180" s="22" t="s">
        <v>6</v>
      </c>
      <c r="I180" s="22" t="s">
        <v>6</v>
      </c>
      <c r="J180" s="48">
        <f>SUM(J181:J203)</f>
        <v>0</v>
      </c>
      <c r="K180" s="48">
        <f>SUM(K181:K203)</f>
        <v>0</v>
      </c>
      <c r="L180" s="48">
        <f>SUM(L181:L203)</f>
        <v>0</v>
      </c>
      <c r="M180" s="37"/>
      <c r="N180" s="5"/>
      <c r="AI180" s="41"/>
      <c r="AS180" s="48">
        <f>SUM(AJ181:AJ203)</f>
        <v>0</v>
      </c>
      <c r="AT180" s="48">
        <f>SUM(AK181:AK203)</f>
        <v>0</v>
      </c>
      <c r="AU180" s="48">
        <f>SUM(AL181:AL203)</f>
        <v>0</v>
      </c>
    </row>
    <row r="181" spans="1:64" x14ac:dyDescent="0.25">
      <c r="A181" s="4" t="s">
        <v>106</v>
      </c>
      <c r="B181" s="14" t="s">
        <v>264</v>
      </c>
      <c r="C181" s="136" t="s">
        <v>480</v>
      </c>
      <c r="D181" s="137"/>
      <c r="E181" s="137"/>
      <c r="F181" s="137"/>
      <c r="G181" s="14" t="s">
        <v>595</v>
      </c>
      <c r="H181" s="78">
        <v>10.002000000000001</v>
      </c>
      <c r="I181" s="24">
        <v>0</v>
      </c>
      <c r="J181" s="24">
        <f>H181*AO181</f>
        <v>0</v>
      </c>
      <c r="K181" s="24">
        <f>H181*AP181</f>
        <v>0</v>
      </c>
      <c r="L181" s="24">
        <f>H181*I181</f>
        <v>0</v>
      </c>
      <c r="M181" s="35" t="s">
        <v>616</v>
      </c>
      <c r="N181" s="5"/>
      <c r="Z181" s="42">
        <f>IF(AQ181="5",BJ181,0)</f>
        <v>0</v>
      </c>
      <c r="AB181" s="42">
        <f>IF(AQ181="1",BH181,0)</f>
        <v>0</v>
      </c>
      <c r="AC181" s="42">
        <f>IF(AQ181="1",BI181,0)</f>
        <v>0</v>
      </c>
      <c r="AD181" s="42">
        <f>IF(AQ181="7",BH181,0)</f>
        <v>0</v>
      </c>
      <c r="AE181" s="42">
        <f>IF(AQ181="7",BI181,0)</f>
        <v>0</v>
      </c>
      <c r="AF181" s="42">
        <f>IF(AQ181="2",BH181,0)</f>
        <v>0</v>
      </c>
      <c r="AG181" s="42">
        <f>IF(AQ181="2",BI181,0)</f>
        <v>0</v>
      </c>
      <c r="AH181" s="42">
        <f>IF(AQ181="0",BJ181,0)</f>
        <v>0</v>
      </c>
      <c r="AI181" s="41"/>
      <c r="AJ181" s="24">
        <f>IF(AN181=0,L181,0)</f>
        <v>0</v>
      </c>
      <c r="AK181" s="24">
        <f>IF(AN181=15,L181,0)</f>
        <v>0</v>
      </c>
      <c r="AL181" s="24">
        <f>IF(AN181=21,L181,0)</f>
        <v>0</v>
      </c>
      <c r="AN181" s="42">
        <v>15</v>
      </c>
      <c r="AO181" s="42">
        <f>I181*0</f>
        <v>0</v>
      </c>
      <c r="AP181" s="42">
        <f>I181*(1-0)</f>
        <v>0</v>
      </c>
      <c r="AQ181" s="43" t="s">
        <v>13</v>
      </c>
      <c r="AV181" s="42">
        <f>AW181+AX181</f>
        <v>0</v>
      </c>
      <c r="AW181" s="42">
        <f>H181*AO181</f>
        <v>0</v>
      </c>
      <c r="AX181" s="42">
        <f>H181*AP181</f>
        <v>0</v>
      </c>
      <c r="AY181" s="45" t="s">
        <v>644</v>
      </c>
      <c r="AZ181" s="45" t="s">
        <v>661</v>
      </c>
      <c r="BA181" s="41" t="s">
        <v>664</v>
      </c>
      <c r="BC181" s="42">
        <f>AW181+AX181</f>
        <v>0</v>
      </c>
      <c r="BD181" s="42">
        <f>I181/(100-BE181)*100</f>
        <v>0</v>
      </c>
      <c r="BE181" s="42">
        <v>0</v>
      </c>
      <c r="BF181" s="42">
        <f>179</f>
        <v>179</v>
      </c>
      <c r="BH181" s="24">
        <f>H181*AO181</f>
        <v>0</v>
      </c>
      <c r="BI181" s="24">
        <f>H181*AP181</f>
        <v>0</v>
      </c>
      <c r="BJ181" s="24">
        <f>H181*I181</f>
        <v>0</v>
      </c>
      <c r="BK181" s="24" t="s">
        <v>669</v>
      </c>
      <c r="BL181" s="42">
        <v>776</v>
      </c>
    </row>
    <row r="182" spans="1:64" x14ac:dyDescent="0.25">
      <c r="A182" s="5"/>
      <c r="C182" s="18" t="s">
        <v>481</v>
      </c>
      <c r="F182" s="20"/>
      <c r="H182" s="79">
        <v>5.3159999999999998</v>
      </c>
      <c r="M182" s="36"/>
      <c r="N182" s="5"/>
    </row>
    <row r="183" spans="1:64" x14ac:dyDescent="0.25">
      <c r="A183" s="5"/>
      <c r="C183" s="18" t="s">
        <v>482</v>
      </c>
      <c r="F183" s="20"/>
      <c r="H183" s="79">
        <v>4.6859999999999999</v>
      </c>
      <c r="M183" s="36"/>
      <c r="N183" s="5"/>
    </row>
    <row r="184" spans="1:64" x14ac:dyDescent="0.25">
      <c r="A184" s="4" t="s">
        <v>107</v>
      </c>
      <c r="B184" s="14" t="s">
        <v>265</v>
      </c>
      <c r="C184" s="136" t="s">
        <v>483</v>
      </c>
      <c r="D184" s="137"/>
      <c r="E184" s="137"/>
      <c r="F184" s="137"/>
      <c r="G184" s="14" t="s">
        <v>595</v>
      </c>
      <c r="H184" s="78">
        <v>15.387</v>
      </c>
      <c r="I184" s="24">
        <v>0</v>
      </c>
      <c r="J184" s="24">
        <f>H184*AO184</f>
        <v>0</v>
      </c>
      <c r="K184" s="24">
        <f>H184*AP184</f>
        <v>0</v>
      </c>
      <c r="L184" s="24">
        <f>H184*I184</f>
        <v>0</v>
      </c>
      <c r="M184" s="35" t="s">
        <v>616</v>
      </c>
      <c r="N184" s="5"/>
      <c r="Z184" s="42">
        <f>IF(AQ184="5",BJ184,0)</f>
        <v>0</v>
      </c>
      <c r="AB184" s="42">
        <f>IF(AQ184="1",BH184,0)</f>
        <v>0</v>
      </c>
      <c r="AC184" s="42">
        <f>IF(AQ184="1",BI184,0)</f>
        <v>0</v>
      </c>
      <c r="AD184" s="42">
        <f>IF(AQ184="7",BH184,0)</f>
        <v>0</v>
      </c>
      <c r="AE184" s="42">
        <f>IF(AQ184="7",BI184,0)</f>
        <v>0</v>
      </c>
      <c r="AF184" s="42">
        <f>IF(AQ184="2",BH184,0)</f>
        <v>0</v>
      </c>
      <c r="AG184" s="42">
        <f>IF(AQ184="2",BI184,0)</f>
        <v>0</v>
      </c>
      <c r="AH184" s="42">
        <f>IF(AQ184="0",BJ184,0)</f>
        <v>0</v>
      </c>
      <c r="AI184" s="41"/>
      <c r="AJ184" s="24">
        <f>IF(AN184=0,L184,0)</f>
        <v>0</v>
      </c>
      <c r="AK184" s="24">
        <f>IF(AN184=15,L184,0)</f>
        <v>0</v>
      </c>
      <c r="AL184" s="24">
        <f>IF(AN184=21,L184,0)</f>
        <v>0</v>
      </c>
      <c r="AN184" s="42">
        <v>15</v>
      </c>
      <c r="AO184" s="42">
        <f>I184*0</f>
        <v>0</v>
      </c>
      <c r="AP184" s="42">
        <f>I184*(1-0)</f>
        <v>0</v>
      </c>
      <c r="AQ184" s="43" t="s">
        <v>13</v>
      </c>
      <c r="AV184" s="42">
        <f>AW184+AX184</f>
        <v>0</v>
      </c>
      <c r="AW184" s="42">
        <f>H184*AO184</f>
        <v>0</v>
      </c>
      <c r="AX184" s="42">
        <f>H184*AP184</f>
        <v>0</v>
      </c>
      <c r="AY184" s="45" t="s">
        <v>644</v>
      </c>
      <c r="AZ184" s="45" t="s">
        <v>661</v>
      </c>
      <c r="BA184" s="41" t="s">
        <v>664</v>
      </c>
      <c r="BC184" s="42">
        <f>AW184+AX184</f>
        <v>0</v>
      </c>
      <c r="BD184" s="42">
        <f>I184/(100-BE184)*100</f>
        <v>0</v>
      </c>
      <c r="BE184" s="42">
        <v>0</v>
      </c>
      <c r="BF184" s="42">
        <f>182</f>
        <v>182</v>
      </c>
      <c r="BH184" s="24">
        <f>H184*AO184</f>
        <v>0</v>
      </c>
      <c r="BI184" s="24">
        <f>H184*AP184</f>
        <v>0</v>
      </c>
      <c r="BJ184" s="24">
        <f>H184*I184</f>
        <v>0</v>
      </c>
      <c r="BK184" s="24" t="s">
        <v>669</v>
      </c>
      <c r="BL184" s="42">
        <v>776</v>
      </c>
    </row>
    <row r="185" spans="1:64" x14ac:dyDescent="0.25">
      <c r="A185" s="5"/>
      <c r="C185" s="18" t="s">
        <v>484</v>
      </c>
      <c r="F185" s="20"/>
      <c r="H185" s="79">
        <v>15.387</v>
      </c>
      <c r="M185" s="36"/>
      <c r="N185" s="5"/>
    </row>
    <row r="186" spans="1:64" x14ac:dyDescent="0.25">
      <c r="A186" s="4" t="s">
        <v>108</v>
      </c>
      <c r="B186" s="14" t="s">
        <v>266</v>
      </c>
      <c r="C186" s="136" t="s">
        <v>485</v>
      </c>
      <c r="D186" s="137"/>
      <c r="E186" s="137"/>
      <c r="F186" s="137"/>
      <c r="G186" s="14" t="s">
        <v>595</v>
      </c>
      <c r="H186" s="78">
        <v>23.408000000000001</v>
      </c>
      <c r="I186" s="24">
        <v>0</v>
      </c>
      <c r="J186" s="24">
        <f>H186*AO186</f>
        <v>0</v>
      </c>
      <c r="K186" s="24">
        <f>H186*AP186</f>
        <v>0</v>
      </c>
      <c r="L186" s="24">
        <f>H186*I186</f>
        <v>0</v>
      </c>
      <c r="M186" s="35" t="s">
        <v>616</v>
      </c>
      <c r="N186" s="5"/>
      <c r="Z186" s="42">
        <f>IF(AQ186="5",BJ186,0)</f>
        <v>0</v>
      </c>
      <c r="AB186" s="42">
        <f>IF(AQ186="1",BH186,0)</f>
        <v>0</v>
      </c>
      <c r="AC186" s="42">
        <f>IF(AQ186="1",BI186,0)</f>
        <v>0</v>
      </c>
      <c r="AD186" s="42">
        <f>IF(AQ186="7",BH186,0)</f>
        <v>0</v>
      </c>
      <c r="AE186" s="42">
        <f>IF(AQ186="7",BI186,0)</f>
        <v>0</v>
      </c>
      <c r="AF186" s="42">
        <f>IF(AQ186="2",BH186,0)</f>
        <v>0</v>
      </c>
      <c r="AG186" s="42">
        <f>IF(AQ186="2",BI186,0)</f>
        <v>0</v>
      </c>
      <c r="AH186" s="42">
        <f>IF(AQ186="0",BJ186,0)</f>
        <v>0</v>
      </c>
      <c r="AI186" s="41"/>
      <c r="AJ186" s="24">
        <f>IF(AN186=0,L186,0)</f>
        <v>0</v>
      </c>
      <c r="AK186" s="24">
        <f>IF(AN186=15,L186,0)</f>
        <v>0</v>
      </c>
      <c r="AL186" s="24">
        <f>IF(AN186=21,L186,0)</f>
        <v>0</v>
      </c>
      <c r="AN186" s="42">
        <v>15</v>
      </c>
      <c r="AO186" s="42">
        <f>I186*0</f>
        <v>0</v>
      </c>
      <c r="AP186" s="42">
        <f>I186*(1-0)</f>
        <v>0</v>
      </c>
      <c r="AQ186" s="43" t="s">
        <v>13</v>
      </c>
      <c r="AV186" s="42">
        <f>AW186+AX186</f>
        <v>0</v>
      </c>
      <c r="AW186" s="42">
        <f>H186*AO186</f>
        <v>0</v>
      </c>
      <c r="AX186" s="42">
        <f>H186*AP186</f>
        <v>0</v>
      </c>
      <c r="AY186" s="45" t="s">
        <v>644</v>
      </c>
      <c r="AZ186" s="45" t="s">
        <v>661</v>
      </c>
      <c r="BA186" s="41" t="s">
        <v>664</v>
      </c>
      <c r="BC186" s="42">
        <f>AW186+AX186</f>
        <v>0</v>
      </c>
      <c r="BD186" s="42">
        <f>I186/(100-BE186)*100</f>
        <v>0</v>
      </c>
      <c r="BE186" s="42">
        <v>0</v>
      </c>
      <c r="BF186" s="42">
        <f>184</f>
        <v>184</v>
      </c>
      <c r="BH186" s="24">
        <f>H186*AO186</f>
        <v>0</v>
      </c>
      <c r="BI186" s="24">
        <f>H186*AP186</f>
        <v>0</v>
      </c>
      <c r="BJ186" s="24">
        <f>H186*I186</f>
        <v>0</v>
      </c>
      <c r="BK186" s="24" t="s">
        <v>669</v>
      </c>
      <c r="BL186" s="42">
        <v>776</v>
      </c>
    </row>
    <row r="187" spans="1:64" x14ac:dyDescent="0.25">
      <c r="A187" s="5"/>
      <c r="C187" s="18" t="s">
        <v>486</v>
      </c>
      <c r="F187" s="20"/>
      <c r="H187" s="79">
        <v>23.408000000000001</v>
      </c>
      <c r="M187" s="36"/>
      <c r="N187" s="5"/>
    </row>
    <row r="188" spans="1:64" x14ac:dyDescent="0.25">
      <c r="A188" s="4" t="s">
        <v>109</v>
      </c>
      <c r="B188" s="14" t="s">
        <v>267</v>
      </c>
      <c r="C188" s="136" t="s">
        <v>487</v>
      </c>
      <c r="D188" s="137"/>
      <c r="E188" s="137"/>
      <c r="F188" s="137"/>
      <c r="G188" s="14" t="s">
        <v>595</v>
      </c>
      <c r="H188" s="78">
        <v>48.796999999999997</v>
      </c>
      <c r="I188" s="24">
        <v>0</v>
      </c>
      <c r="J188" s="24">
        <f>H188*AO188</f>
        <v>0</v>
      </c>
      <c r="K188" s="24">
        <f>H188*AP188</f>
        <v>0</v>
      </c>
      <c r="L188" s="24">
        <f>H188*I188</f>
        <v>0</v>
      </c>
      <c r="M188" s="35" t="s">
        <v>616</v>
      </c>
      <c r="N188" s="5"/>
      <c r="Z188" s="42">
        <f>IF(AQ188="5",BJ188,0)</f>
        <v>0</v>
      </c>
      <c r="AB188" s="42">
        <f>IF(AQ188="1",BH188,0)</f>
        <v>0</v>
      </c>
      <c r="AC188" s="42">
        <f>IF(AQ188="1",BI188,0)</f>
        <v>0</v>
      </c>
      <c r="AD188" s="42">
        <f>IF(AQ188="7",BH188,0)</f>
        <v>0</v>
      </c>
      <c r="AE188" s="42">
        <f>IF(AQ188="7",BI188,0)</f>
        <v>0</v>
      </c>
      <c r="AF188" s="42">
        <f>IF(AQ188="2",BH188,0)</f>
        <v>0</v>
      </c>
      <c r="AG188" s="42">
        <f>IF(AQ188="2",BI188,0)</f>
        <v>0</v>
      </c>
      <c r="AH188" s="42">
        <f>IF(AQ188="0",BJ188,0)</f>
        <v>0</v>
      </c>
      <c r="AI188" s="41"/>
      <c r="AJ188" s="24">
        <f>IF(AN188=0,L188,0)</f>
        <v>0</v>
      </c>
      <c r="AK188" s="24">
        <f>IF(AN188=15,L188,0)</f>
        <v>0</v>
      </c>
      <c r="AL188" s="24">
        <f>IF(AN188=21,L188,0)</f>
        <v>0</v>
      </c>
      <c r="AN188" s="42">
        <v>15</v>
      </c>
      <c r="AO188" s="42">
        <f>I188*0.180620102264222</f>
        <v>0</v>
      </c>
      <c r="AP188" s="42">
        <f>I188*(1-0.180620102264222)</f>
        <v>0</v>
      </c>
      <c r="AQ188" s="43" t="s">
        <v>13</v>
      </c>
      <c r="AV188" s="42">
        <f>AW188+AX188</f>
        <v>0</v>
      </c>
      <c r="AW188" s="42">
        <f>H188*AO188</f>
        <v>0</v>
      </c>
      <c r="AX188" s="42">
        <f>H188*AP188</f>
        <v>0</v>
      </c>
      <c r="AY188" s="45" t="s">
        <v>644</v>
      </c>
      <c r="AZ188" s="45" t="s">
        <v>661</v>
      </c>
      <c r="BA188" s="41" t="s">
        <v>664</v>
      </c>
      <c r="BC188" s="42">
        <f>AW188+AX188</f>
        <v>0</v>
      </c>
      <c r="BD188" s="42">
        <f>I188/(100-BE188)*100</f>
        <v>0</v>
      </c>
      <c r="BE188" s="42">
        <v>0</v>
      </c>
      <c r="BF188" s="42">
        <f>186</f>
        <v>186</v>
      </c>
      <c r="BH188" s="24">
        <f>H188*AO188</f>
        <v>0</v>
      </c>
      <c r="BI188" s="24">
        <f>H188*AP188</f>
        <v>0</v>
      </c>
      <c r="BJ188" s="24">
        <f>H188*I188</f>
        <v>0</v>
      </c>
      <c r="BK188" s="24" t="s">
        <v>669</v>
      </c>
      <c r="BL188" s="42">
        <v>776</v>
      </c>
    </row>
    <row r="189" spans="1:64" x14ac:dyDescent="0.25">
      <c r="A189" s="5"/>
      <c r="C189" s="18" t="s">
        <v>488</v>
      </c>
      <c r="F189" s="20"/>
      <c r="H189" s="79">
        <v>5.3159999999999998</v>
      </c>
      <c r="M189" s="36"/>
      <c r="N189" s="5"/>
    </row>
    <row r="190" spans="1:64" x14ac:dyDescent="0.25">
      <c r="A190" s="5"/>
      <c r="C190" s="18" t="s">
        <v>482</v>
      </c>
      <c r="F190" s="20"/>
      <c r="H190" s="79">
        <v>4.6859999999999999</v>
      </c>
      <c r="M190" s="36"/>
      <c r="N190" s="5"/>
    </row>
    <row r="191" spans="1:64" x14ac:dyDescent="0.25">
      <c r="A191" s="5"/>
      <c r="C191" s="18" t="s">
        <v>489</v>
      </c>
      <c r="F191" s="20"/>
      <c r="H191" s="79">
        <v>15.387</v>
      </c>
      <c r="M191" s="36"/>
      <c r="N191" s="5"/>
    </row>
    <row r="192" spans="1:64" x14ac:dyDescent="0.25">
      <c r="A192" s="5"/>
      <c r="C192" s="18" t="s">
        <v>490</v>
      </c>
      <c r="F192" s="20"/>
      <c r="H192" s="79">
        <v>23.408000000000001</v>
      </c>
      <c r="M192" s="36"/>
      <c r="N192" s="5"/>
    </row>
    <row r="193" spans="1:64" x14ac:dyDescent="0.25">
      <c r="A193" s="4" t="s">
        <v>110</v>
      </c>
      <c r="B193" s="14" t="s">
        <v>268</v>
      </c>
      <c r="C193" s="136" t="s">
        <v>491</v>
      </c>
      <c r="D193" s="137"/>
      <c r="E193" s="137"/>
      <c r="F193" s="137"/>
      <c r="G193" s="14" t="s">
        <v>597</v>
      </c>
      <c r="H193" s="78">
        <v>46.828000000000003</v>
      </c>
      <c r="I193" s="24">
        <v>0</v>
      </c>
      <c r="J193" s="24">
        <f>H193*AO193</f>
        <v>0</v>
      </c>
      <c r="K193" s="24">
        <f>H193*AP193</f>
        <v>0</v>
      </c>
      <c r="L193" s="24">
        <f>H193*I193</f>
        <v>0</v>
      </c>
      <c r="M193" s="35" t="s">
        <v>616</v>
      </c>
      <c r="N193" s="5"/>
      <c r="Z193" s="42">
        <f>IF(AQ193="5",BJ193,0)</f>
        <v>0</v>
      </c>
      <c r="AB193" s="42">
        <f>IF(AQ193="1",BH193,0)</f>
        <v>0</v>
      </c>
      <c r="AC193" s="42">
        <f>IF(AQ193="1",BI193,0)</f>
        <v>0</v>
      </c>
      <c r="AD193" s="42">
        <f>IF(AQ193="7",BH193,0)</f>
        <v>0</v>
      </c>
      <c r="AE193" s="42">
        <f>IF(AQ193="7",BI193,0)</f>
        <v>0</v>
      </c>
      <c r="AF193" s="42">
        <f>IF(AQ193="2",BH193,0)</f>
        <v>0</v>
      </c>
      <c r="AG193" s="42">
        <f>IF(AQ193="2",BI193,0)</f>
        <v>0</v>
      </c>
      <c r="AH193" s="42">
        <f>IF(AQ193="0",BJ193,0)</f>
        <v>0</v>
      </c>
      <c r="AI193" s="41"/>
      <c r="AJ193" s="24">
        <f>IF(AN193=0,L193,0)</f>
        <v>0</v>
      </c>
      <c r="AK193" s="24">
        <f>IF(AN193=15,L193,0)</f>
        <v>0</v>
      </c>
      <c r="AL193" s="24">
        <f>IF(AN193=21,L193,0)</f>
        <v>0</v>
      </c>
      <c r="AN193" s="42">
        <v>15</v>
      </c>
      <c r="AO193" s="42">
        <f>I193*0.328609854984955</f>
        <v>0</v>
      </c>
      <c r="AP193" s="42">
        <f>I193*(1-0.328609854984955)</f>
        <v>0</v>
      </c>
      <c r="AQ193" s="43" t="s">
        <v>13</v>
      </c>
      <c r="AV193" s="42">
        <f>AW193+AX193</f>
        <v>0</v>
      </c>
      <c r="AW193" s="42">
        <f>H193*AO193</f>
        <v>0</v>
      </c>
      <c r="AX193" s="42">
        <f>H193*AP193</f>
        <v>0</v>
      </c>
      <c r="AY193" s="45" t="s">
        <v>644</v>
      </c>
      <c r="AZ193" s="45" t="s">
        <v>661</v>
      </c>
      <c r="BA193" s="41" t="s">
        <v>664</v>
      </c>
      <c r="BC193" s="42">
        <f>AW193+AX193</f>
        <v>0</v>
      </c>
      <c r="BD193" s="42">
        <f>I193/(100-BE193)*100</f>
        <v>0</v>
      </c>
      <c r="BE193" s="42">
        <v>0</v>
      </c>
      <c r="BF193" s="42">
        <f>191</f>
        <v>191</v>
      </c>
      <c r="BH193" s="24">
        <f>H193*AO193</f>
        <v>0</v>
      </c>
      <c r="BI193" s="24">
        <f>H193*AP193</f>
        <v>0</v>
      </c>
      <c r="BJ193" s="24">
        <f>H193*I193</f>
        <v>0</v>
      </c>
      <c r="BK193" s="24" t="s">
        <v>669</v>
      </c>
      <c r="BL193" s="42">
        <v>776</v>
      </c>
    </row>
    <row r="194" spans="1:64" x14ac:dyDescent="0.25">
      <c r="A194" s="5"/>
      <c r="C194" s="18" t="s">
        <v>492</v>
      </c>
      <c r="F194" s="20"/>
      <c r="H194" s="79">
        <v>7.9210000000000003</v>
      </c>
      <c r="M194" s="36"/>
      <c r="N194" s="5"/>
    </row>
    <row r="195" spans="1:64" x14ac:dyDescent="0.25">
      <c r="A195" s="5"/>
      <c r="C195" s="18" t="s">
        <v>493</v>
      </c>
      <c r="F195" s="20"/>
      <c r="H195" s="79">
        <v>4.9169999999999998</v>
      </c>
      <c r="M195" s="36"/>
      <c r="N195" s="5"/>
    </row>
    <row r="196" spans="1:64" x14ac:dyDescent="0.25">
      <c r="A196" s="5"/>
      <c r="C196" s="18" t="s">
        <v>494</v>
      </c>
      <c r="F196" s="20"/>
      <c r="H196" s="79">
        <v>14.92</v>
      </c>
      <c r="M196" s="36"/>
      <c r="N196" s="5"/>
    </row>
    <row r="197" spans="1:64" x14ac:dyDescent="0.25">
      <c r="A197" s="5"/>
      <c r="C197" s="18" t="s">
        <v>495</v>
      </c>
      <c r="F197" s="20"/>
      <c r="H197" s="79">
        <v>19.07</v>
      </c>
      <c r="M197" s="36"/>
      <c r="N197" s="5"/>
    </row>
    <row r="198" spans="1:64" x14ac:dyDescent="0.25">
      <c r="A198" s="7" t="s">
        <v>111</v>
      </c>
      <c r="B198" s="16" t="s">
        <v>269</v>
      </c>
      <c r="C198" s="143" t="s">
        <v>496</v>
      </c>
      <c r="D198" s="144"/>
      <c r="E198" s="144"/>
      <c r="F198" s="144"/>
      <c r="G198" s="16" t="s">
        <v>595</v>
      </c>
      <c r="H198" s="80">
        <v>51.237000000000002</v>
      </c>
      <c r="I198" s="25">
        <v>0</v>
      </c>
      <c r="J198" s="25">
        <f>H198*AO198</f>
        <v>0</v>
      </c>
      <c r="K198" s="25">
        <f>H198*AP198</f>
        <v>0</v>
      </c>
      <c r="L198" s="25">
        <f>H198*I198</f>
        <v>0</v>
      </c>
      <c r="M198" s="38" t="s">
        <v>616</v>
      </c>
      <c r="N198" s="5"/>
      <c r="Z198" s="42">
        <f>IF(AQ198="5",BJ198,0)</f>
        <v>0</v>
      </c>
      <c r="AB198" s="42">
        <f>IF(AQ198="1",BH198,0)</f>
        <v>0</v>
      </c>
      <c r="AC198" s="42">
        <f>IF(AQ198="1",BI198,0)</f>
        <v>0</v>
      </c>
      <c r="AD198" s="42">
        <f>IF(AQ198="7",BH198,0)</f>
        <v>0</v>
      </c>
      <c r="AE198" s="42">
        <f>IF(AQ198="7",BI198,0)</f>
        <v>0</v>
      </c>
      <c r="AF198" s="42">
        <f>IF(AQ198="2",BH198,0)</f>
        <v>0</v>
      </c>
      <c r="AG198" s="42">
        <f>IF(AQ198="2",BI198,0)</f>
        <v>0</v>
      </c>
      <c r="AH198" s="42">
        <f>IF(AQ198="0",BJ198,0)</f>
        <v>0</v>
      </c>
      <c r="AI198" s="41"/>
      <c r="AJ198" s="25">
        <f>IF(AN198=0,L198,0)</f>
        <v>0</v>
      </c>
      <c r="AK198" s="25">
        <f>IF(AN198=15,L198,0)</f>
        <v>0</v>
      </c>
      <c r="AL198" s="25">
        <f>IF(AN198=21,L198,0)</f>
        <v>0</v>
      </c>
      <c r="AN198" s="42">
        <v>15</v>
      </c>
      <c r="AO198" s="42">
        <f>I198*1</f>
        <v>0</v>
      </c>
      <c r="AP198" s="42">
        <f>I198*(1-1)</f>
        <v>0</v>
      </c>
      <c r="AQ198" s="44" t="s">
        <v>13</v>
      </c>
      <c r="AV198" s="42">
        <f>AW198+AX198</f>
        <v>0</v>
      </c>
      <c r="AW198" s="42">
        <f>H198*AO198</f>
        <v>0</v>
      </c>
      <c r="AX198" s="42">
        <f>H198*AP198</f>
        <v>0</v>
      </c>
      <c r="AY198" s="45" t="s">
        <v>644</v>
      </c>
      <c r="AZ198" s="45" t="s">
        <v>661</v>
      </c>
      <c r="BA198" s="41" t="s">
        <v>664</v>
      </c>
      <c r="BC198" s="42">
        <f>AW198+AX198</f>
        <v>0</v>
      </c>
      <c r="BD198" s="42">
        <f>I198/(100-BE198)*100</f>
        <v>0</v>
      </c>
      <c r="BE198" s="42">
        <v>0</v>
      </c>
      <c r="BF198" s="42">
        <f>196</f>
        <v>196</v>
      </c>
      <c r="BH198" s="25">
        <f>H198*AO198</f>
        <v>0</v>
      </c>
      <c r="BI198" s="25">
        <f>H198*AP198</f>
        <v>0</v>
      </c>
      <c r="BJ198" s="25">
        <f>H198*I198</f>
        <v>0</v>
      </c>
      <c r="BK198" s="25" t="s">
        <v>670</v>
      </c>
      <c r="BL198" s="42">
        <v>776</v>
      </c>
    </row>
    <row r="199" spans="1:64" x14ac:dyDescent="0.25">
      <c r="A199" s="5"/>
      <c r="C199" s="18" t="s">
        <v>497</v>
      </c>
      <c r="F199" s="20"/>
      <c r="H199" s="79">
        <v>5.5819999999999999</v>
      </c>
      <c r="M199" s="36"/>
      <c r="N199" s="5"/>
    </row>
    <row r="200" spans="1:64" x14ac:dyDescent="0.25">
      <c r="A200" s="5"/>
      <c r="C200" s="18" t="s">
        <v>498</v>
      </c>
      <c r="F200" s="20"/>
      <c r="H200" s="79">
        <v>4.92</v>
      </c>
      <c r="M200" s="36"/>
      <c r="N200" s="5"/>
    </row>
    <row r="201" spans="1:64" x14ac:dyDescent="0.25">
      <c r="A201" s="5"/>
      <c r="C201" s="18" t="s">
        <v>499</v>
      </c>
      <c r="F201" s="20"/>
      <c r="H201" s="79">
        <v>16.155999999999999</v>
      </c>
      <c r="M201" s="36"/>
      <c r="N201" s="5"/>
    </row>
    <row r="202" spans="1:64" x14ac:dyDescent="0.25">
      <c r="A202" s="5"/>
      <c r="C202" s="18" t="s">
        <v>500</v>
      </c>
      <c r="F202" s="20"/>
      <c r="H202" s="79">
        <v>24.579000000000001</v>
      </c>
      <c r="M202" s="36"/>
      <c r="N202" s="5"/>
    </row>
    <row r="203" spans="1:64" x14ac:dyDescent="0.25">
      <c r="A203" s="4" t="s">
        <v>112</v>
      </c>
      <c r="B203" s="14" t="s">
        <v>270</v>
      </c>
      <c r="C203" s="136" t="s">
        <v>501</v>
      </c>
      <c r="D203" s="137"/>
      <c r="E203" s="137"/>
      <c r="F203" s="137"/>
      <c r="G203" s="14" t="s">
        <v>599</v>
      </c>
      <c r="H203" s="78">
        <v>0.8</v>
      </c>
      <c r="I203" s="24">
        <v>0</v>
      </c>
      <c r="J203" s="24">
        <f>H203*AO203</f>
        <v>0</v>
      </c>
      <c r="K203" s="24">
        <f>H203*AP203</f>
        <v>0</v>
      </c>
      <c r="L203" s="24">
        <f>H203*I203</f>
        <v>0</v>
      </c>
      <c r="M203" s="35" t="s">
        <v>616</v>
      </c>
      <c r="N203" s="5"/>
      <c r="Z203" s="42">
        <f>IF(AQ203="5",BJ203,0)</f>
        <v>0</v>
      </c>
      <c r="AB203" s="42">
        <f>IF(AQ203="1",BH203,0)</f>
        <v>0</v>
      </c>
      <c r="AC203" s="42">
        <f>IF(AQ203="1",BI203,0)</f>
        <v>0</v>
      </c>
      <c r="AD203" s="42">
        <f>IF(AQ203="7",BH203,0)</f>
        <v>0</v>
      </c>
      <c r="AE203" s="42">
        <f>IF(AQ203="7",BI203,0)</f>
        <v>0</v>
      </c>
      <c r="AF203" s="42">
        <f>IF(AQ203="2",BH203,0)</f>
        <v>0</v>
      </c>
      <c r="AG203" s="42">
        <f>IF(AQ203="2",BI203,0)</f>
        <v>0</v>
      </c>
      <c r="AH203" s="42">
        <f>IF(AQ203="0",BJ203,0)</f>
        <v>0</v>
      </c>
      <c r="AI203" s="41"/>
      <c r="AJ203" s="24">
        <f>IF(AN203=0,L203,0)</f>
        <v>0</v>
      </c>
      <c r="AK203" s="24">
        <f>IF(AN203=15,L203,0)</f>
        <v>0</v>
      </c>
      <c r="AL203" s="24">
        <f>IF(AN203=21,L203,0)</f>
        <v>0</v>
      </c>
      <c r="AN203" s="42">
        <v>15</v>
      </c>
      <c r="AO203" s="42">
        <f>I203*0</f>
        <v>0</v>
      </c>
      <c r="AP203" s="42">
        <f>I203*(1-0)</f>
        <v>0</v>
      </c>
      <c r="AQ203" s="43" t="s">
        <v>11</v>
      </c>
      <c r="AV203" s="42">
        <f>AW203+AX203</f>
        <v>0</v>
      </c>
      <c r="AW203" s="42">
        <f>H203*AO203</f>
        <v>0</v>
      </c>
      <c r="AX203" s="42">
        <f>H203*AP203</f>
        <v>0</v>
      </c>
      <c r="AY203" s="45" t="s">
        <v>644</v>
      </c>
      <c r="AZ203" s="45" t="s">
        <v>661</v>
      </c>
      <c r="BA203" s="41" t="s">
        <v>664</v>
      </c>
      <c r="BC203" s="42">
        <f>AW203+AX203</f>
        <v>0</v>
      </c>
      <c r="BD203" s="42">
        <f>I203/(100-BE203)*100</f>
        <v>0</v>
      </c>
      <c r="BE203" s="42">
        <v>0</v>
      </c>
      <c r="BF203" s="42">
        <f>201</f>
        <v>201</v>
      </c>
      <c r="BH203" s="24">
        <f>H203*AO203</f>
        <v>0</v>
      </c>
      <c r="BI203" s="24">
        <f>H203*AP203</f>
        <v>0</v>
      </c>
      <c r="BJ203" s="24">
        <f>H203*I203</f>
        <v>0</v>
      </c>
      <c r="BK203" s="24" t="s">
        <v>669</v>
      </c>
      <c r="BL203" s="42">
        <v>776</v>
      </c>
    </row>
    <row r="204" spans="1:64" x14ac:dyDescent="0.25">
      <c r="A204" s="6"/>
      <c r="B204" s="15" t="s">
        <v>271</v>
      </c>
      <c r="C204" s="141" t="s">
        <v>502</v>
      </c>
      <c r="D204" s="142"/>
      <c r="E204" s="142"/>
      <c r="F204" s="142"/>
      <c r="G204" s="22" t="s">
        <v>6</v>
      </c>
      <c r="H204" s="22" t="s">
        <v>6</v>
      </c>
      <c r="I204" s="22" t="s">
        <v>6</v>
      </c>
      <c r="J204" s="48">
        <f>SUM(J205:J219)</f>
        <v>0</v>
      </c>
      <c r="K204" s="48">
        <f>SUM(K205:K219)</f>
        <v>0</v>
      </c>
      <c r="L204" s="48">
        <f>SUM(L205:L219)</f>
        <v>0</v>
      </c>
      <c r="M204" s="37"/>
      <c r="N204" s="5"/>
      <c r="AI204" s="41"/>
      <c r="AS204" s="48">
        <f>SUM(AJ205:AJ219)</f>
        <v>0</v>
      </c>
      <c r="AT204" s="48">
        <f>SUM(AK205:AK219)</f>
        <v>0</v>
      </c>
      <c r="AU204" s="48">
        <f>SUM(AL205:AL219)</f>
        <v>0</v>
      </c>
    </row>
    <row r="205" spans="1:64" x14ac:dyDescent="0.25">
      <c r="A205" s="4" t="s">
        <v>113</v>
      </c>
      <c r="B205" s="14" t="s">
        <v>272</v>
      </c>
      <c r="C205" s="136" t="s">
        <v>503</v>
      </c>
      <c r="D205" s="137"/>
      <c r="E205" s="137"/>
      <c r="F205" s="137"/>
      <c r="G205" s="14" t="s">
        <v>595</v>
      </c>
      <c r="H205" s="78">
        <v>18.893999999999998</v>
      </c>
      <c r="I205" s="24">
        <v>0</v>
      </c>
      <c r="J205" s="24">
        <f>H205*AO205</f>
        <v>0</v>
      </c>
      <c r="K205" s="24">
        <f>H205*AP205</f>
        <v>0</v>
      </c>
      <c r="L205" s="24">
        <f>H205*I205</f>
        <v>0</v>
      </c>
      <c r="M205" s="35" t="s">
        <v>616</v>
      </c>
      <c r="N205" s="5"/>
      <c r="Z205" s="42">
        <f>IF(AQ205="5",BJ205,0)</f>
        <v>0</v>
      </c>
      <c r="AB205" s="42">
        <f>IF(AQ205="1",BH205,0)</f>
        <v>0</v>
      </c>
      <c r="AC205" s="42">
        <f>IF(AQ205="1",BI205,0)</f>
        <v>0</v>
      </c>
      <c r="AD205" s="42">
        <f>IF(AQ205="7",BH205,0)</f>
        <v>0</v>
      </c>
      <c r="AE205" s="42">
        <f>IF(AQ205="7",BI205,0)</f>
        <v>0</v>
      </c>
      <c r="AF205" s="42">
        <f>IF(AQ205="2",BH205,0)</f>
        <v>0</v>
      </c>
      <c r="AG205" s="42">
        <f>IF(AQ205="2",BI205,0)</f>
        <v>0</v>
      </c>
      <c r="AH205" s="42">
        <f>IF(AQ205="0",BJ205,0)</f>
        <v>0</v>
      </c>
      <c r="AI205" s="41"/>
      <c r="AJ205" s="24">
        <f>IF(AN205=0,L205,0)</f>
        <v>0</v>
      </c>
      <c r="AK205" s="24">
        <f>IF(AN205=15,L205,0)</f>
        <v>0</v>
      </c>
      <c r="AL205" s="24">
        <f>IF(AN205=21,L205,0)</f>
        <v>0</v>
      </c>
      <c r="AN205" s="42">
        <v>15</v>
      </c>
      <c r="AO205" s="42">
        <f>I205*0.496932320208466</f>
        <v>0</v>
      </c>
      <c r="AP205" s="42">
        <f>I205*(1-0.496932320208466)</f>
        <v>0</v>
      </c>
      <c r="AQ205" s="43" t="s">
        <v>13</v>
      </c>
      <c r="AV205" s="42">
        <f>AW205+AX205</f>
        <v>0</v>
      </c>
      <c r="AW205" s="42">
        <f>H205*AO205</f>
        <v>0</v>
      </c>
      <c r="AX205" s="42">
        <f>H205*AP205</f>
        <v>0</v>
      </c>
      <c r="AY205" s="45" t="s">
        <v>645</v>
      </c>
      <c r="AZ205" s="45" t="s">
        <v>662</v>
      </c>
      <c r="BA205" s="41" t="s">
        <v>664</v>
      </c>
      <c r="BC205" s="42">
        <f>AW205+AX205</f>
        <v>0</v>
      </c>
      <c r="BD205" s="42">
        <f>I205/(100-BE205)*100</f>
        <v>0</v>
      </c>
      <c r="BE205" s="42">
        <v>0</v>
      </c>
      <c r="BF205" s="42">
        <f>203</f>
        <v>203</v>
      </c>
      <c r="BH205" s="24">
        <f>H205*AO205</f>
        <v>0</v>
      </c>
      <c r="BI205" s="24">
        <f>H205*AP205</f>
        <v>0</v>
      </c>
      <c r="BJ205" s="24">
        <f>H205*I205</f>
        <v>0</v>
      </c>
      <c r="BK205" s="24" t="s">
        <v>669</v>
      </c>
      <c r="BL205" s="42">
        <v>781</v>
      </c>
    </row>
    <row r="206" spans="1:64" x14ac:dyDescent="0.25">
      <c r="A206" s="5"/>
      <c r="C206" s="18" t="s">
        <v>348</v>
      </c>
      <c r="F206" s="20"/>
      <c r="H206" s="79">
        <v>13.92</v>
      </c>
      <c r="M206" s="36"/>
      <c r="N206" s="5"/>
    </row>
    <row r="207" spans="1:64" x14ac:dyDescent="0.25">
      <c r="A207" s="5"/>
      <c r="C207" s="18" t="s">
        <v>504</v>
      </c>
      <c r="F207" s="20"/>
      <c r="H207" s="79">
        <v>4.9740000000000002</v>
      </c>
      <c r="M207" s="36"/>
      <c r="N207" s="5"/>
    </row>
    <row r="208" spans="1:64" x14ac:dyDescent="0.25">
      <c r="A208" s="4" t="s">
        <v>114</v>
      </c>
      <c r="B208" s="14" t="s">
        <v>273</v>
      </c>
      <c r="C208" s="136" t="s">
        <v>505</v>
      </c>
      <c r="D208" s="137"/>
      <c r="E208" s="137"/>
      <c r="F208" s="137"/>
      <c r="G208" s="14" t="s">
        <v>595</v>
      </c>
      <c r="H208" s="78">
        <v>18.893999999999998</v>
      </c>
      <c r="I208" s="24">
        <v>0</v>
      </c>
      <c r="J208" s="24">
        <f>H208*AO208</f>
        <v>0</v>
      </c>
      <c r="K208" s="24">
        <f>H208*AP208</f>
        <v>0</v>
      </c>
      <c r="L208" s="24">
        <f>H208*I208</f>
        <v>0</v>
      </c>
      <c r="M208" s="35" t="s">
        <v>616</v>
      </c>
      <c r="N208" s="5"/>
      <c r="Z208" s="42">
        <f>IF(AQ208="5",BJ208,0)</f>
        <v>0</v>
      </c>
      <c r="AB208" s="42">
        <f>IF(AQ208="1",BH208,0)</f>
        <v>0</v>
      </c>
      <c r="AC208" s="42">
        <f>IF(AQ208="1",BI208,0)</f>
        <v>0</v>
      </c>
      <c r="AD208" s="42">
        <f>IF(AQ208="7",BH208,0)</f>
        <v>0</v>
      </c>
      <c r="AE208" s="42">
        <f>IF(AQ208="7",BI208,0)</f>
        <v>0</v>
      </c>
      <c r="AF208" s="42">
        <f>IF(AQ208="2",BH208,0)</f>
        <v>0</v>
      </c>
      <c r="AG208" s="42">
        <f>IF(AQ208="2",BI208,0)</f>
        <v>0</v>
      </c>
      <c r="AH208" s="42">
        <f>IF(AQ208="0",BJ208,0)</f>
        <v>0</v>
      </c>
      <c r="AI208" s="41"/>
      <c r="AJ208" s="24">
        <f>IF(AN208=0,L208,0)</f>
        <v>0</v>
      </c>
      <c r="AK208" s="24">
        <f>IF(AN208=15,L208,0)</f>
        <v>0</v>
      </c>
      <c r="AL208" s="24">
        <f>IF(AN208=21,L208,0)</f>
        <v>0</v>
      </c>
      <c r="AN208" s="42">
        <v>15</v>
      </c>
      <c r="AO208" s="42">
        <f>I208*0.143048005224942</f>
        <v>0</v>
      </c>
      <c r="AP208" s="42">
        <f>I208*(1-0.143048005224942)</f>
        <v>0</v>
      </c>
      <c r="AQ208" s="43" t="s">
        <v>13</v>
      </c>
      <c r="AV208" s="42">
        <f>AW208+AX208</f>
        <v>0</v>
      </c>
      <c r="AW208" s="42">
        <f>H208*AO208</f>
        <v>0</v>
      </c>
      <c r="AX208" s="42">
        <f>H208*AP208</f>
        <v>0</v>
      </c>
      <c r="AY208" s="45" t="s">
        <v>645</v>
      </c>
      <c r="AZ208" s="45" t="s">
        <v>662</v>
      </c>
      <c r="BA208" s="41" t="s">
        <v>664</v>
      </c>
      <c r="BC208" s="42">
        <f>AW208+AX208</f>
        <v>0</v>
      </c>
      <c r="BD208" s="42">
        <f>I208/(100-BE208)*100</f>
        <v>0</v>
      </c>
      <c r="BE208" s="42">
        <v>0</v>
      </c>
      <c r="BF208" s="42">
        <f>206</f>
        <v>206</v>
      </c>
      <c r="BH208" s="24">
        <f>H208*AO208</f>
        <v>0</v>
      </c>
      <c r="BI208" s="24">
        <f>H208*AP208</f>
        <v>0</v>
      </c>
      <c r="BJ208" s="24">
        <f>H208*I208</f>
        <v>0</v>
      </c>
      <c r="BK208" s="24" t="s">
        <v>669</v>
      </c>
      <c r="BL208" s="42">
        <v>781</v>
      </c>
    </row>
    <row r="209" spans="1:64" x14ac:dyDescent="0.25">
      <c r="A209" s="5"/>
      <c r="C209" s="18" t="s">
        <v>348</v>
      </c>
      <c r="F209" s="20"/>
      <c r="H209" s="79">
        <v>13.92</v>
      </c>
      <c r="M209" s="36"/>
      <c r="N209" s="5"/>
    </row>
    <row r="210" spans="1:64" x14ac:dyDescent="0.25">
      <c r="A210" s="5"/>
      <c r="C210" s="18" t="s">
        <v>349</v>
      </c>
      <c r="F210" s="20"/>
      <c r="H210" s="79">
        <v>4.9740000000000002</v>
      </c>
      <c r="M210" s="36"/>
      <c r="N210" s="5"/>
    </row>
    <row r="211" spans="1:64" x14ac:dyDescent="0.25">
      <c r="A211" s="4" t="s">
        <v>115</v>
      </c>
      <c r="B211" s="14" t="s">
        <v>274</v>
      </c>
      <c r="C211" s="136" t="s">
        <v>506</v>
      </c>
      <c r="D211" s="137"/>
      <c r="E211" s="137"/>
      <c r="F211" s="137"/>
      <c r="G211" s="14" t="s">
        <v>595</v>
      </c>
      <c r="H211" s="78">
        <v>4.9740000000000002</v>
      </c>
      <c r="I211" s="24">
        <v>0</v>
      </c>
      <c r="J211" s="24">
        <f>H211*AO211</f>
        <v>0</v>
      </c>
      <c r="K211" s="24">
        <f>H211*AP211</f>
        <v>0</v>
      </c>
      <c r="L211" s="24">
        <f>H211*I211</f>
        <v>0</v>
      </c>
      <c r="M211" s="35" t="s">
        <v>616</v>
      </c>
      <c r="N211" s="5"/>
      <c r="Z211" s="42">
        <f>IF(AQ211="5",BJ211,0)</f>
        <v>0</v>
      </c>
      <c r="AB211" s="42">
        <f>IF(AQ211="1",BH211,0)</f>
        <v>0</v>
      </c>
      <c r="AC211" s="42">
        <f>IF(AQ211="1",BI211,0)</f>
        <v>0</v>
      </c>
      <c r="AD211" s="42">
        <f>IF(AQ211="7",BH211,0)</f>
        <v>0</v>
      </c>
      <c r="AE211" s="42">
        <f>IF(AQ211="7",BI211,0)</f>
        <v>0</v>
      </c>
      <c r="AF211" s="42">
        <f>IF(AQ211="2",BH211,0)</f>
        <v>0</v>
      </c>
      <c r="AG211" s="42">
        <f>IF(AQ211="2",BI211,0)</f>
        <v>0</v>
      </c>
      <c r="AH211" s="42">
        <f>IF(AQ211="0",BJ211,0)</f>
        <v>0</v>
      </c>
      <c r="AI211" s="41"/>
      <c r="AJ211" s="24">
        <f>IF(AN211=0,L211,0)</f>
        <v>0</v>
      </c>
      <c r="AK211" s="24">
        <f>IF(AN211=15,L211,0)</f>
        <v>0</v>
      </c>
      <c r="AL211" s="24">
        <f>IF(AN211=21,L211,0)</f>
        <v>0</v>
      </c>
      <c r="AN211" s="42">
        <v>15</v>
      </c>
      <c r="AO211" s="42">
        <f>I211*0</f>
        <v>0</v>
      </c>
      <c r="AP211" s="42">
        <f>I211*(1-0)</f>
        <v>0</v>
      </c>
      <c r="AQ211" s="43" t="s">
        <v>13</v>
      </c>
      <c r="AV211" s="42">
        <f>AW211+AX211</f>
        <v>0</v>
      </c>
      <c r="AW211" s="42">
        <f>H211*AO211</f>
        <v>0</v>
      </c>
      <c r="AX211" s="42">
        <f>H211*AP211</f>
        <v>0</v>
      </c>
      <c r="AY211" s="45" t="s">
        <v>645</v>
      </c>
      <c r="AZ211" s="45" t="s">
        <v>662</v>
      </c>
      <c r="BA211" s="41" t="s">
        <v>664</v>
      </c>
      <c r="BC211" s="42">
        <f>AW211+AX211</f>
        <v>0</v>
      </c>
      <c r="BD211" s="42">
        <f>I211/(100-BE211)*100</f>
        <v>0</v>
      </c>
      <c r="BE211" s="42">
        <v>0</v>
      </c>
      <c r="BF211" s="42">
        <f>209</f>
        <v>209</v>
      </c>
      <c r="BH211" s="24">
        <f>H211*AO211</f>
        <v>0</v>
      </c>
      <c r="BI211" s="24">
        <f>H211*AP211</f>
        <v>0</v>
      </c>
      <c r="BJ211" s="24">
        <f>H211*I211</f>
        <v>0</v>
      </c>
      <c r="BK211" s="24" t="s">
        <v>669</v>
      </c>
      <c r="BL211" s="42">
        <v>781</v>
      </c>
    </row>
    <row r="212" spans="1:64" x14ac:dyDescent="0.25">
      <c r="A212" s="5"/>
      <c r="C212" s="18" t="s">
        <v>349</v>
      </c>
      <c r="F212" s="20"/>
      <c r="H212" s="79">
        <v>4.9740000000000002</v>
      </c>
      <c r="M212" s="36"/>
      <c r="N212" s="5"/>
    </row>
    <row r="213" spans="1:64" x14ac:dyDescent="0.25">
      <c r="A213" s="4" t="s">
        <v>116</v>
      </c>
      <c r="B213" s="14" t="s">
        <v>275</v>
      </c>
      <c r="C213" s="136" t="s">
        <v>507</v>
      </c>
      <c r="D213" s="137"/>
      <c r="E213" s="137"/>
      <c r="F213" s="137"/>
      <c r="G213" s="14" t="s">
        <v>597</v>
      </c>
      <c r="H213" s="78">
        <v>44.728000000000002</v>
      </c>
      <c r="I213" s="24">
        <v>0</v>
      </c>
      <c r="J213" s="24">
        <f>H213*AO213</f>
        <v>0</v>
      </c>
      <c r="K213" s="24">
        <f>H213*AP213</f>
        <v>0</v>
      </c>
      <c r="L213" s="24">
        <f>H213*I213</f>
        <v>0</v>
      </c>
      <c r="M213" s="35" t="s">
        <v>616</v>
      </c>
      <c r="N213" s="5"/>
      <c r="Z213" s="42">
        <f>IF(AQ213="5",BJ213,0)</f>
        <v>0</v>
      </c>
      <c r="AB213" s="42">
        <f>IF(AQ213="1",BH213,0)</f>
        <v>0</v>
      </c>
      <c r="AC213" s="42">
        <f>IF(AQ213="1",BI213,0)</f>
        <v>0</v>
      </c>
      <c r="AD213" s="42">
        <f>IF(AQ213="7",BH213,0)</f>
        <v>0</v>
      </c>
      <c r="AE213" s="42">
        <f>IF(AQ213="7",BI213,0)</f>
        <v>0</v>
      </c>
      <c r="AF213" s="42">
        <f>IF(AQ213="2",BH213,0)</f>
        <v>0</v>
      </c>
      <c r="AG213" s="42">
        <f>IF(AQ213="2",BI213,0)</f>
        <v>0</v>
      </c>
      <c r="AH213" s="42">
        <f>IF(AQ213="0",BJ213,0)</f>
        <v>0</v>
      </c>
      <c r="AI213" s="41"/>
      <c r="AJ213" s="24">
        <f>IF(AN213=0,L213,0)</f>
        <v>0</v>
      </c>
      <c r="AK213" s="24">
        <f>IF(AN213=15,L213,0)</f>
        <v>0</v>
      </c>
      <c r="AL213" s="24">
        <f>IF(AN213=21,L213,0)</f>
        <v>0</v>
      </c>
      <c r="AN213" s="42">
        <v>15</v>
      </c>
      <c r="AO213" s="42">
        <f>I213*0.751070033988479</f>
        <v>0</v>
      </c>
      <c r="AP213" s="42">
        <f>I213*(1-0.751070033988479)</f>
        <v>0</v>
      </c>
      <c r="AQ213" s="43" t="s">
        <v>13</v>
      </c>
      <c r="AV213" s="42">
        <f>AW213+AX213</f>
        <v>0</v>
      </c>
      <c r="AW213" s="42">
        <f>H213*AO213</f>
        <v>0</v>
      </c>
      <c r="AX213" s="42">
        <f>H213*AP213</f>
        <v>0</v>
      </c>
      <c r="AY213" s="45" t="s">
        <v>645</v>
      </c>
      <c r="AZ213" s="45" t="s">
        <v>662</v>
      </c>
      <c r="BA213" s="41" t="s">
        <v>664</v>
      </c>
      <c r="BC213" s="42">
        <f>AW213+AX213</f>
        <v>0</v>
      </c>
      <c r="BD213" s="42">
        <f>I213/(100-BE213)*100</f>
        <v>0</v>
      </c>
      <c r="BE213" s="42">
        <v>0</v>
      </c>
      <c r="BF213" s="42">
        <f>211</f>
        <v>211</v>
      </c>
      <c r="BH213" s="24">
        <f>H213*AO213</f>
        <v>0</v>
      </c>
      <c r="BI213" s="24">
        <f>H213*AP213</f>
        <v>0</v>
      </c>
      <c r="BJ213" s="24">
        <f>H213*I213</f>
        <v>0</v>
      </c>
      <c r="BK213" s="24" t="s">
        <v>669</v>
      </c>
      <c r="BL213" s="42">
        <v>781</v>
      </c>
    </row>
    <row r="214" spans="1:64" x14ac:dyDescent="0.25">
      <c r="A214" s="5"/>
      <c r="C214" s="18" t="s">
        <v>508</v>
      </c>
      <c r="F214" s="20"/>
      <c r="H214" s="79">
        <v>27.495999999999999</v>
      </c>
      <c r="M214" s="36"/>
      <c r="N214" s="5"/>
    </row>
    <row r="215" spans="1:64" x14ac:dyDescent="0.25">
      <c r="A215" s="5"/>
      <c r="C215" s="18" t="s">
        <v>509</v>
      </c>
      <c r="F215" s="20"/>
      <c r="H215" s="79">
        <v>17.231999999999999</v>
      </c>
      <c r="M215" s="36"/>
      <c r="N215" s="5"/>
    </row>
    <row r="216" spans="1:64" x14ac:dyDescent="0.25">
      <c r="A216" s="7" t="s">
        <v>117</v>
      </c>
      <c r="B216" s="16" t="s">
        <v>276</v>
      </c>
      <c r="C216" s="143" t="s">
        <v>510</v>
      </c>
      <c r="D216" s="144"/>
      <c r="E216" s="144"/>
      <c r="F216" s="144"/>
      <c r="G216" s="16" t="s">
        <v>595</v>
      </c>
      <c r="H216" s="80">
        <v>19.271000000000001</v>
      </c>
      <c r="I216" s="25">
        <v>0</v>
      </c>
      <c r="J216" s="25">
        <f>H216*AO216</f>
        <v>0</v>
      </c>
      <c r="K216" s="25">
        <f>H216*AP216</f>
        <v>0</v>
      </c>
      <c r="L216" s="25">
        <f>H216*I216</f>
        <v>0</v>
      </c>
      <c r="M216" s="38" t="s">
        <v>616</v>
      </c>
      <c r="N216" s="5"/>
      <c r="Z216" s="42">
        <f>IF(AQ216="5",BJ216,0)</f>
        <v>0</v>
      </c>
      <c r="AB216" s="42">
        <f>IF(AQ216="1",BH216,0)</f>
        <v>0</v>
      </c>
      <c r="AC216" s="42">
        <f>IF(AQ216="1",BI216,0)</f>
        <v>0</v>
      </c>
      <c r="AD216" s="42">
        <f>IF(AQ216="7",BH216,0)</f>
        <v>0</v>
      </c>
      <c r="AE216" s="42">
        <f>IF(AQ216="7",BI216,0)</f>
        <v>0</v>
      </c>
      <c r="AF216" s="42">
        <f>IF(AQ216="2",BH216,0)</f>
        <v>0</v>
      </c>
      <c r="AG216" s="42">
        <f>IF(AQ216="2",BI216,0)</f>
        <v>0</v>
      </c>
      <c r="AH216" s="42">
        <f>IF(AQ216="0",BJ216,0)</f>
        <v>0</v>
      </c>
      <c r="AI216" s="41"/>
      <c r="AJ216" s="25">
        <f>IF(AN216=0,L216,0)</f>
        <v>0</v>
      </c>
      <c r="AK216" s="25">
        <f>IF(AN216=15,L216,0)</f>
        <v>0</v>
      </c>
      <c r="AL216" s="25">
        <f>IF(AN216=21,L216,0)</f>
        <v>0</v>
      </c>
      <c r="AN216" s="42">
        <v>15</v>
      </c>
      <c r="AO216" s="42">
        <f>I216*1</f>
        <v>0</v>
      </c>
      <c r="AP216" s="42">
        <f>I216*(1-1)</f>
        <v>0</v>
      </c>
      <c r="AQ216" s="44" t="s">
        <v>13</v>
      </c>
      <c r="AV216" s="42">
        <f>AW216+AX216</f>
        <v>0</v>
      </c>
      <c r="AW216" s="42">
        <f>H216*AO216</f>
        <v>0</v>
      </c>
      <c r="AX216" s="42">
        <f>H216*AP216</f>
        <v>0</v>
      </c>
      <c r="AY216" s="45" t="s">
        <v>645</v>
      </c>
      <c r="AZ216" s="45" t="s">
        <v>662</v>
      </c>
      <c r="BA216" s="41" t="s">
        <v>664</v>
      </c>
      <c r="BC216" s="42">
        <f>AW216+AX216</f>
        <v>0</v>
      </c>
      <c r="BD216" s="42">
        <f>I216/(100-BE216)*100</f>
        <v>0</v>
      </c>
      <c r="BE216" s="42">
        <v>0</v>
      </c>
      <c r="BF216" s="42">
        <f>214</f>
        <v>214</v>
      </c>
      <c r="BH216" s="25">
        <f>H216*AO216</f>
        <v>0</v>
      </c>
      <c r="BI216" s="25">
        <f>H216*AP216</f>
        <v>0</v>
      </c>
      <c r="BJ216" s="25">
        <f>H216*I216</f>
        <v>0</v>
      </c>
      <c r="BK216" s="25" t="s">
        <v>670</v>
      </c>
      <c r="BL216" s="42">
        <v>781</v>
      </c>
    </row>
    <row r="217" spans="1:64" x14ac:dyDescent="0.25">
      <c r="A217" s="5"/>
      <c r="C217" s="18" t="s">
        <v>511</v>
      </c>
      <c r="F217" s="20"/>
      <c r="H217" s="79">
        <v>14.198</v>
      </c>
      <c r="M217" s="36"/>
      <c r="N217" s="5"/>
    </row>
    <row r="218" spans="1:64" x14ac:dyDescent="0.25">
      <c r="A218" s="5"/>
      <c r="C218" s="18" t="s">
        <v>512</v>
      </c>
      <c r="F218" s="20"/>
      <c r="H218" s="79">
        <v>5.0730000000000004</v>
      </c>
      <c r="M218" s="36"/>
      <c r="N218" s="5"/>
    </row>
    <row r="219" spans="1:64" x14ac:dyDescent="0.25">
      <c r="A219" s="4" t="s">
        <v>118</v>
      </c>
      <c r="B219" s="14" t="s">
        <v>277</v>
      </c>
      <c r="C219" s="136" t="s">
        <v>513</v>
      </c>
      <c r="D219" s="137"/>
      <c r="E219" s="137"/>
      <c r="F219" s="137"/>
      <c r="G219" s="14" t="s">
        <v>599</v>
      </c>
      <c r="H219" s="78">
        <v>3.75</v>
      </c>
      <c r="I219" s="24">
        <v>0</v>
      </c>
      <c r="J219" s="24">
        <f>H219*AO219</f>
        <v>0</v>
      </c>
      <c r="K219" s="24">
        <f>H219*AP219</f>
        <v>0</v>
      </c>
      <c r="L219" s="24">
        <f>H219*I219</f>
        <v>0</v>
      </c>
      <c r="M219" s="35" t="s">
        <v>616</v>
      </c>
      <c r="N219" s="5"/>
      <c r="Z219" s="42">
        <f>IF(AQ219="5",BJ219,0)</f>
        <v>0</v>
      </c>
      <c r="AB219" s="42">
        <f>IF(AQ219="1",BH219,0)</f>
        <v>0</v>
      </c>
      <c r="AC219" s="42">
        <f>IF(AQ219="1",BI219,0)</f>
        <v>0</v>
      </c>
      <c r="AD219" s="42">
        <f>IF(AQ219="7",BH219,0)</f>
        <v>0</v>
      </c>
      <c r="AE219" s="42">
        <f>IF(AQ219="7",BI219,0)</f>
        <v>0</v>
      </c>
      <c r="AF219" s="42">
        <f>IF(AQ219="2",BH219,0)</f>
        <v>0</v>
      </c>
      <c r="AG219" s="42">
        <f>IF(AQ219="2",BI219,0)</f>
        <v>0</v>
      </c>
      <c r="AH219" s="42">
        <f>IF(AQ219="0",BJ219,0)</f>
        <v>0</v>
      </c>
      <c r="AI219" s="41"/>
      <c r="AJ219" s="24">
        <f>IF(AN219=0,L219,0)</f>
        <v>0</v>
      </c>
      <c r="AK219" s="24">
        <f>IF(AN219=15,L219,0)</f>
        <v>0</v>
      </c>
      <c r="AL219" s="24">
        <f>IF(AN219=21,L219,0)</f>
        <v>0</v>
      </c>
      <c r="AN219" s="42">
        <v>15</v>
      </c>
      <c r="AO219" s="42">
        <f>I219*0</f>
        <v>0</v>
      </c>
      <c r="AP219" s="42">
        <f>I219*(1-0)</f>
        <v>0</v>
      </c>
      <c r="AQ219" s="43" t="s">
        <v>11</v>
      </c>
      <c r="AV219" s="42">
        <f>AW219+AX219</f>
        <v>0</v>
      </c>
      <c r="AW219" s="42">
        <f>H219*AO219</f>
        <v>0</v>
      </c>
      <c r="AX219" s="42">
        <f>H219*AP219</f>
        <v>0</v>
      </c>
      <c r="AY219" s="45" t="s">
        <v>645</v>
      </c>
      <c r="AZ219" s="45" t="s">
        <v>662</v>
      </c>
      <c r="BA219" s="41" t="s">
        <v>664</v>
      </c>
      <c r="BC219" s="42">
        <f>AW219+AX219</f>
        <v>0</v>
      </c>
      <c r="BD219" s="42">
        <f>I219/(100-BE219)*100</f>
        <v>0</v>
      </c>
      <c r="BE219" s="42">
        <v>0</v>
      </c>
      <c r="BF219" s="42">
        <f>217</f>
        <v>217</v>
      </c>
      <c r="BH219" s="24">
        <f>H219*AO219</f>
        <v>0</v>
      </c>
      <c r="BI219" s="24">
        <f>H219*AP219</f>
        <v>0</v>
      </c>
      <c r="BJ219" s="24">
        <f>H219*I219</f>
        <v>0</v>
      </c>
      <c r="BK219" s="24" t="s">
        <v>669</v>
      </c>
      <c r="BL219" s="42">
        <v>781</v>
      </c>
    </row>
    <row r="220" spans="1:64" x14ac:dyDescent="0.25">
      <c r="A220" s="6"/>
      <c r="B220" s="15" t="s">
        <v>278</v>
      </c>
      <c r="C220" s="141" t="s">
        <v>514</v>
      </c>
      <c r="D220" s="142"/>
      <c r="E220" s="142"/>
      <c r="F220" s="142"/>
      <c r="G220" s="22" t="s">
        <v>6</v>
      </c>
      <c r="H220" s="22" t="s">
        <v>6</v>
      </c>
      <c r="I220" s="22" t="s">
        <v>6</v>
      </c>
      <c r="J220" s="48">
        <f>SUM(J221:J221)</f>
        <v>0</v>
      </c>
      <c r="K220" s="48">
        <f>SUM(K221:K221)</f>
        <v>0</v>
      </c>
      <c r="L220" s="48">
        <f>SUM(L221:L221)</f>
        <v>0</v>
      </c>
      <c r="M220" s="37"/>
      <c r="N220" s="5"/>
      <c r="AI220" s="41"/>
      <c r="AS220" s="48">
        <f>SUM(AJ221:AJ221)</f>
        <v>0</v>
      </c>
      <c r="AT220" s="48">
        <f>SUM(AK221:AK221)</f>
        <v>0</v>
      </c>
      <c r="AU220" s="48">
        <f>SUM(AL221:AL221)</f>
        <v>0</v>
      </c>
    </row>
    <row r="221" spans="1:64" x14ac:dyDescent="0.25">
      <c r="A221" s="4" t="s">
        <v>119</v>
      </c>
      <c r="B221" s="14" t="s">
        <v>279</v>
      </c>
      <c r="C221" s="136" t="s">
        <v>515</v>
      </c>
      <c r="D221" s="137"/>
      <c r="E221" s="137"/>
      <c r="F221" s="137"/>
      <c r="G221" s="14" t="s">
        <v>595</v>
      </c>
      <c r="H221" s="78">
        <v>4.91</v>
      </c>
      <c r="I221" s="24">
        <v>0</v>
      </c>
      <c r="J221" s="24">
        <f>H221*AO221</f>
        <v>0</v>
      </c>
      <c r="K221" s="24">
        <f>H221*AP221</f>
        <v>0</v>
      </c>
      <c r="L221" s="24">
        <f>H221*I221</f>
        <v>0</v>
      </c>
      <c r="M221" s="35" t="s">
        <v>616</v>
      </c>
      <c r="N221" s="5"/>
      <c r="Z221" s="42">
        <f>IF(AQ221="5",BJ221,0)</f>
        <v>0</v>
      </c>
      <c r="AB221" s="42">
        <f>IF(AQ221="1",BH221,0)</f>
        <v>0</v>
      </c>
      <c r="AC221" s="42">
        <f>IF(AQ221="1",BI221,0)</f>
        <v>0</v>
      </c>
      <c r="AD221" s="42">
        <f>IF(AQ221="7",BH221,0)</f>
        <v>0</v>
      </c>
      <c r="AE221" s="42">
        <f>IF(AQ221="7",BI221,0)</f>
        <v>0</v>
      </c>
      <c r="AF221" s="42">
        <f>IF(AQ221="2",BH221,0)</f>
        <v>0</v>
      </c>
      <c r="AG221" s="42">
        <f>IF(AQ221="2",BI221,0)</f>
        <v>0</v>
      </c>
      <c r="AH221" s="42">
        <f>IF(AQ221="0",BJ221,0)</f>
        <v>0</v>
      </c>
      <c r="AI221" s="41"/>
      <c r="AJ221" s="24">
        <f>IF(AN221=0,L221,0)</f>
        <v>0</v>
      </c>
      <c r="AK221" s="24">
        <f>IF(AN221=15,L221,0)</f>
        <v>0</v>
      </c>
      <c r="AL221" s="24">
        <f>IF(AN221=21,L221,0)</f>
        <v>0</v>
      </c>
      <c r="AN221" s="42">
        <v>15</v>
      </c>
      <c r="AO221" s="42">
        <f>I221*0.181175742009608</f>
        <v>0</v>
      </c>
      <c r="AP221" s="42">
        <f>I221*(1-0.181175742009608)</f>
        <v>0</v>
      </c>
      <c r="AQ221" s="43" t="s">
        <v>13</v>
      </c>
      <c r="AV221" s="42">
        <f>AW221+AX221</f>
        <v>0</v>
      </c>
      <c r="AW221" s="42">
        <f>H221*AO221</f>
        <v>0</v>
      </c>
      <c r="AX221" s="42">
        <f>H221*AP221</f>
        <v>0</v>
      </c>
      <c r="AY221" s="45" t="s">
        <v>646</v>
      </c>
      <c r="AZ221" s="45" t="s">
        <v>662</v>
      </c>
      <c r="BA221" s="41" t="s">
        <v>664</v>
      </c>
      <c r="BC221" s="42">
        <f>AW221+AX221</f>
        <v>0</v>
      </c>
      <c r="BD221" s="42">
        <f>I221/(100-BE221)*100</f>
        <v>0</v>
      </c>
      <c r="BE221" s="42">
        <v>0</v>
      </c>
      <c r="BF221" s="42">
        <f>219</f>
        <v>219</v>
      </c>
      <c r="BH221" s="24">
        <f>H221*AO221</f>
        <v>0</v>
      </c>
      <c r="BI221" s="24">
        <f>H221*AP221</f>
        <v>0</v>
      </c>
      <c r="BJ221" s="24">
        <f>H221*I221</f>
        <v>0</v>
      </c>
      <c r="BK221" s="24" t="s">
        <v>669</v>
      </c>
      <c r="BL221" s="42">
        <v>783</v>
      </c>
    </row>
    <row r="222" spans="1:64" x14ac:dyDescent="0.25">
      <c r="A222" s="5"/>
      <c r="C222" s="18" t="s">
        <v>516</v>
      </c>
      <c r="F222" s="20"/>
      <c r="H222" s="79">
        <v>4.91</v>
      </c>
      <c r="M222" s="36"/>
      <c r="N222" s="5"/>
    </row>
    <row r="223" spans="1:64" x14ac:dyDescent="0.25">
      <c r="A223" s="6"/>
      <c r="B223" s="15" t="s">
        <v>280</v>
      </c>
      <c r="C223" s="141" t="s">
        <v>517</v>
      </c>
      <c r="D223" s="142"/>
      <c r="E223" s="142"/>
      <c r="F223" s="142"/>
      <c r="G223" s="22" t="s">
        <v>6</v>
      </c>
      <c r="H223" s="22" t="s">
        <v>6</v>
      </c>
      <c r="I223" s="22" t="s">
        <v>6</v>
      </c>
      <c r="J223" s="48">
        <f>SUM(J224:J232)</f>
        <v>0</v>
      </c>
      <c r="K223" s="48">
        <f>SUM(K224:K232)</f>
        <v>0</v>
      </c>
      <c r="L223" s="48">
        <f>SUM(L224:L232)</f>
        <v>0</v>
      </c>
      <c r="M223" s="37"/>
      <c r="N223" s="5"/>
      <c r="AI223" s="41"/>
      <c r="AS223" s="48">
        <f>SUM(AJ224:AJ232)</f>
        <v>0</v>
      </c>
      <c r="AT223" s="48">
        <f>SUM(AK224:AK232)</f>
        <v>0</v>
      </c>
      <c r="AU223" s="48">
        <f>SUM(AL224:AL232)</f>
        <v>0</v>
      </c>
    </row>
    <row r="224" spans="1:64" x14ac:dyDescent="0.25">
      <c r="A224" s="4" t="s">
        <v>120</v>
      </c>
      <c r="B224" s="14" t="s">
        <v>281</v>
      </c>
      <c r="C224" s="136" t="s">
        <v>518</v>
      </c>
      <c r="D224" s="137"/>
      <c r="E224" s="137"/>
      <c r="F224" s="137"/>
      <c r="G224" s="14" t="s">
        <v>595</v>
      </c>
      <c r="H224" s="78">
        <v>214.161</v>
      </c>
      <c r="I224" s="24">
        <v>0</v>
      </c>
      <c r="J224" s="24">
        <f>H224*AO224</f>
        <v>0</v>
      </c>
      <c r="K224" s="24">
        <f>H224*AP224</f>
        <v>0</v>
      </c>
      <c r="L224" s="24">
        <f>H224*I224</f>
        <v>0</v>
      </c>
      <c r="M224" s="35" t="s">
        <v>616</v>
      </c>
      <c r="N224" s="5"/>
      <c r="Z224" s="42">
        <f>IF(AQ224="5",BJ224,0)</f>
        <v>0</v>
      </c>
      <c r="AB224" s="42">
        <f>IF(AQ224="1",BH224,0)</f>
        <v>0</v>
      </c>
      <c r="AC224" s="42">
        <f>IF(AQ224="1",BI224,0)</f>
        <v>0</v>
      </c>
      <c r="AD224" s="42">
        <f>IF(AQ224="7",BH224,0)</f>
        <v>0</v>
      </c>
      <c r="AE224" s="42">
        <f>IF(AQ224="7",BI224,0)</f>
        <v>0</v>
      </c>
      <c r="AF224" s="42">
        <f>IF(AQ224="2",BH224,0)</f>
        <v>0</v>
      </c>
      <c r="AG224" s="42">
        <f>IF(AQ224="2",BI224,0)</f>
        <v>0</v>
      </c>
      <c r="AH224" s="42">
        <f>IF(AQ224="0",BJ224,0)</f>
        <v>0</v>
      </c>
      <c r="AI224" s="41"/>
      <c r="AJ224" s="24">
        <f>IF(AN224=0,L224,0)</f>
        <v>0</v>
      </c>
      <c r="AK224" s="24">
        <f>IF(AN224=15,L224,0)</f>
        <v>0</v>
      </c>
      <c r="AL224" s="24">
        <f>IF(AN224=21,L224,0)</f>
        <v>0</v>
      </c>
      <c r="AN224" s="42">
        <v>15</v>
      </c>
      <c r="AO224" s="42">
        <f>I224*0.221831499187747</f>
        <v>0</v>
      </c>
      <c r="AP224" s="42">
        <f>I224*(1-0.221831499187747)</f>
        <v>0</v>
      </c>
      <c r="AQ224" s="43" t="s">
        <v>13</v>
      </c>
      <c r="AV224" s="42">
        <f>AW224+AX224</f>
        <v>0</v>
      </c>
      <c r="AW224" s="42">
        <f>H224*AO224</f>
        <v>0</v>
      </c>
      <c r="AX224" s="42">
        <f>H224*AP224</f>
        <v>0</v>
      </c>
      <c r="AY224" s="45" t="s">
        <v>647</v>
      </c>
      <c r="AZ224" s="45" t="s">
        <v>662</v>
      </c>
      <c r="BA224" s="41" t="s">
        <v>664</v>
      </c>
      <c r="BC224" s="42">
        <f>AW224+AX224</f>
        <v>0</v>
      </c>
      <c r="BD224" s="42">
        <f>I224/(100-BE224)*100</f>
        <v>0</v>
      </c>
      <c r="BE224" s="42">
        <v>0</v>
      </c>
      <c r="BF224" s="42">
        <f>222</f>
        <v>222</v>
      </c>
      <c r="BH224" s="24">
        <f>H224*AO224</f>
        <v>0</v>
      </c>
      <c r="BI224" s="24">
        <f>H224*AP224</f>
        <v>0</v>
      </c>
      <c r="BJ224" s="24">
        <f>H224*I224</f>
        <v>0</v>
      </c>
      <c r="BK224" s="24" t="s">
        <v>669</v>
      </c>
      <c r="BL224" s="42">
        <v>784</v>
      </c>
    </row>
    <row r="225" spans="1:64" x14ac:dyDescent="0.25">
      <c r="A225" s="5"/>
      <c r="C225" s="18" t="s">
        <v>519</v>
      </c>
      <c r="F225" s="20"/>
      <c r="H225" s="79">
        <v>76.650999999999996</v>
      </c>
      <c r="M225" s="36"/>
      <c r="N225" s="5"/>
    </row>
    <row r="226" spans="1:64" x14ac:dyDescent="0.25">
      <c r="A226" s="5"/>
      <c r="C226" s="18" t="s">
        <v>520</v>
      </c>
      <c r="F226" s="20"/>
      <c r="H226" s="79">
        <v>31.768999999999998</v>
      </c>
      <c r="M226" s="36"/>
      <c r="N226" s="5"/>
    </row>
    <row r="227" spans="1:64" x14ac:dyDescent="0.25">
      <c r="A227" s="5"/>
      <c r="C227" s="18" t="s">
        <v>521</v>
      </c>
      <c r="F227" s="20"/>
      <c r="H227" s="79">
        <v>29.129000000000001</v>
      </c>
      <c r="M227" s="36"/>
      <c r="N227" s="5"/>
    </row>
    <row r="228" spans="1:64" x14ac:dyDescent="0.25">
      <c r="A228" s="5"/>
      <c r="C228" s="18" t="s">
        <v>522</v>
      </c>
      <c r="F228" s="20"/>
      <c r="H228" s="79">
        <v>11.114000000000001</v>
      </c>
      <c r="M228" s="36"/>
      <c r="N228" s="5"/>
    </row>
    <row r="229" spans="1:64" x14ac:dyDescent="0.25">
      <c r="A229" s="5"/>
      <c r="C229" s="18" t="s">
        <v>523</v>
      </c>
      <c r="F229" s="20"/>
      <c r="H229" s="79">
        <v>9.3919999999999995</v>
      </c>
      <c r="M229" s="36"/>
      <c r="N229" s="5"/>
    </row>
    <row r="230" spans="1:64" x14ac:dyDescent="0.25">
      <c r="A230" s="5"/>
      <c r="C230" s="18" t="s">
        <v>524</v>
      </c>
      <c r="F230" s="20"/>
      <c r="H230" s="79">
        <v>56.106000000000002</v>
      </c>
      <c r="M230" s="36"/>
      <c r="N230" s="5"/>
    </row>
    <row r="231" spans="1:64" x14ac:dyDescent="0.25">
      <c r="A231" s="4" t="s">
        <v>121</v>
      </c>
      <c r="B231" s="14" t="s">
        <v>282</v>
      </c>
      <c r="C231" s="136" t="s">
        <v>525</v>
      </c>
      <c r="D231" s="137"/>
      <c r="E231" s="137"/>
      <c r="F231" s="137"/>
      <c r="G231" s="14" t="s">
        <v>595</v>
      </c>
      <c r="H231" s="78">
        <v>214.161</v>
      </c>
      <c r="I231" s="24">
        <v>0</v>
      </c>
      <c r="J231" s="24">
        <f>H231*AO231</f>
        <v>0</v>
      </c>
      <c r="K231" s="24">
        <f>H231*AP231</f>
        <v>0</v>
      </c>
      <c r="L231" s="24">
        <f>H231*I231</f>
        <v>0</v>
      </c>
      <c r="M231" s="35" t="s">
        <v>616</v>
      </c>
      <c r="N231" s="5"/>
      <c r="Z231" s="42">
        <f>IF(AQ231="5",BJ231,0)</f>
        <v>0</v>
      </c>
      <c r="AB231" s="42">
        <f>IF(AQ231="1",BH231,0)</f>
        <v>0</v>
      </c>
      <c r="AC231" s="42">
        <f>IF(AQ231="1",BI231,0)</f>
        <v>0</v>
      </c>
      <c r="AD231" s="42">
        <f>IF(AQ231="7",BH231,0)</f>
        <v>0</v>
      </c>
      <c r="AE231" s="42">
        <f>IF(AQ231="7",BI231,0)</f>
        <v>0</v>
      </c>
      <c r="AF231" s="42">
        <f>IF(AQ231="2",BH231,0)</f>
        <v>0</v>
      </c>
      <c r="AG231" s="42">
        <f>IF(AQ231="2",BI231,0)</f>
        <v>0</v>
      </c>
      <c r="AH231" s="42">
        <f>IF(AQ231="0",BJ231,0)</f>
        <v>0</v>
      </c>
      <c r="AI231" s="41"/>
      <c r="AJ231" s="24">
        <f>IF(AN231=0,L231,0)</f>
        <v>0</v>
      </c>
      <c r="AK231" s="24">
        <f>IF(AN231=15,L231,0)</f>
        <v>0</v>
      </c>
      <c r="AL231" s="24">
        <f>IF(AN231=21,L231,0)</f>
        <v>0</v>
      </c>
      <c r="AN231" s="42">
        <v>15</v>
      </c>
      <c r="AO231" s="42">
        <f>I231*0.0757035742887095</f>
        <v>0</v>
      </c>
      <c r="AP231" s="42">
        <f>I231*(1-0.0757035742887095)</f>
        <v>0</v>
      </c>
      <c r="AQ231" s="43" t="s">
        <v>13</v>
      </c>
      <c r="AV231" s="42">
        <f>AW231+AX231</f>
        <v>0</v>
      </c>
      <c r="AW231" s="42">
        <f>H231*AO231</f>
        <v>0</v>
      </c>
      <c r="AX231" s="42">
        <f>H231*AP231</f>
        <v>0</v>
      </c>
      <c r="AY231" s="45" t="s">
        <v>647</v>
      </c>
      <c r="AZ231" s="45" t="s">
        <v>662</v>
      </c>
      <c r="BA231" s="41" t="s">
        <v>664</v>
      </c>
      <c r="BC231" s="42">
        <f>AW231+AX231</f>
        <v>0</v>
      </c>
      <c r="BD231" s="42">
        <f>I231/(100-BE231)*100</f>
        <v>0</v>
      </c>
      <c r="BE231" s="42">
        <v>0</v>
      </c>
      <c r="BF231" s="42">
        <f>229</f>
        <v>229</v>
      </c>
      <c r="BH231" s="24">
        <f>H231*AO231</f>
        <v>0</v>
      </c>
      <c r="BI231" s="24">
        <f>H231*AP231</f>
        <v>0</v>
      </c>
      <c r="BJ231" s="24">
        <f>H231*I231</f>
        <v>0</v>
      </c>
      <c r="BK231" s="24" t="s">
        <v>669</v>
      </c>
      <c r="BL231" s="42">
        <v>784</v>
      </c>
    </row>
    <row r="232" spans="1:64" x14ac:dyDescent="0.25">
      <c r="A232" s="4" t="s">
        <v>122</v>
      </c>
      <c r="B232" s="14" t="s">
        <v>283</v>
      </c>
      <c r="C232" s="136" t="s">
        <v>526</v>
      </c>
      <c r="D232" s="137"/>
      <c r="E232" s="137"/>
      <c r="F232" s="137"/>
      <c r="G232" s="14" t="s">
        <v>595</v>
      </c>
      <c r="H232" s="78">
        <v>214.161</v>
      </c>
      <c r="I232" s="24">
        <v>0</v>
      </c>
      <c r="J232" s="24">
        <f>H232*AO232</f>
        <v>0</v>
      </c>
      <c r="K232" s="24">
        <f>H232*AP232</f>
        <v>0</v>
      </c>
      <c r="L232" s="24">
        <f>H232*I232</f>
        <v>0</v>
      </c>
      <c r="M232" s="35" t="s">
        <v>616</v>
      </c>
      <c r="N232" s="5"/>
      <c r="Z232" s="42">
        <f>IF(AQ232="5",BJ232,0)</f>
        <v>0</v>
      </c>
      <c r="AB232" s="42">
        <f>IF(AQ232="1",BH232,0)</f>
        <v>0</v>
      </c>
      <c r="AC232" s="42">
        <f>IF(AQ232="1",BI232,0)</f>
        <v>0</v>
      </c>
      <c r="AD232" s="42">
        <f>IF(AQ232="7",BH232,0)</f>
        <v>0</v>
      </c>
      <c r="AE232" s="42">
        <f>IF(AQ232="7",BI232,0)</f>
        <v>0</v>
      </c>
      <c r="AF232" s="42">
        <f>IF(AQ232="2",BH232,0)</f>
        <v>0</v>
      </c>
      <c r="AG232" s="42">
        <f>IF(AQ232="2",BI232,0)</f>
        <v>0</v>
      </c>
      <c r="AH232" s="42">
        <f>IF(AQ232="0",BJ232,0)</f>
        <v>0</v>
      </c>
      <c r="AI232" s="41"/>
      <c r="AJ232" s="24">
        <f>IF(AN232=0,L232,0)</f>
        <v>0</v>
      </c>
      <c r="AK232" s="24">
        <f>IF(AN232=15,L232,0)</f>
        <v>0</v>
      </c>
      <c r="AL232" s="24">
        <f>IF(AN232=21,L232,0)</f>
        <v>0</v>
      </c>
      <c r="AN232" s="42">
        <v>15</v>
      </c>
      <c r="AO232" s="42">
        <f>I232*0.0102040709364488</f>
        <v>0</v>
      </c>
      <c r="AP232" s="42">
        <f>I232*(1-0.0102040709364488)</f>
        <v>0</v>
      </c>
      <c r="AQ232" s="43" t="s">
        <v>13</v>
      </c>
      <c r="AV232" s="42">
        <f>AW232+AX232</f>
        <v>0</v>
      </c>
      <c r="AW232" s="42">
        <f>H232*AO232</f>
        <v>0</v>
      </c>
      <c r="AX232" s="42">
        <f>H232*AP232</f>
        <v>0</v>
      </c>
      <c r="AY232" s="45" t="s">
        <v>647</v>
      </c>
      <c r="AZ232" s="45" t="s">
        <v>662</v>
      </c>
      <c r="BA232" s="41" t="s">
        <v>664</v>
      </c>
      <c r="BC232" s="42">
        <f>AW232+AX232</f>
        <v>0</v>
      </c>
      <c r="BD232" s="42">
        <f>I232/(100-BE232)*100</f>
        <v>0</v>
      </c>
      <c r="BE232" s="42">
        <v>0</v>
      </c>
      <c r="BF232" s="42">
        <f>230</f>
        <v>230</v>
      </c>
      <c r="BH232" s="24">
        <f>H232*AO232</f>
        <v>0</v>
      </c>
      <c r="BI232" s="24">
        <f>H232*AP232</f>
        <v>0</v>
      </c>
      <c r="BJ232" s="24">
        <f>H232*I232</f>
        <v>0</v>
      </c>
      <c r="BK232" s="24" t="s">
        <v>669</v>
      </c>
      <c r="BL232" s="42">
        <v>784</v>
      </c>
    </row>
    <row r="233" spans="1:64" x14ac:dyDescent="0.25">
      <c r="A233" s="6"/>
      <c r="B233" s="15" t="s">
        <v>284</v>
      </c>
      <c r="C233" s="141" t="s">
        <v>527</v>
      </c>
      <c r="D233" s="142"/>
      <c r="E233" s="142"/>
      <c r="F233" s="142"/>
      <c r="G233" s="22" t="s">
        <v>6</v>
      </c>
      <c r="H233" s="22" t="s">
        <v>6</v>
      </c>
      <c r="I233" s="22" t="s">
        <v>6</v>
      </c>
      <c r="J233" s="48">
        <f>SUM(J234:J234)</f>
        <v>0</v>
      </c>
      <c r="K233" s="48">
        <f>SUM(K234:K234)</f>
        <v>0</v>
      </c>
      <c r="L233" s="48">
        <f>SUM(L234:L234)</f>
        <v>0</v>
      </c>
      <c r="M233" s="37"/>
      <c r="N233" s="5"/>
      <c r="AI233" s="41"/>
      <c r="AS233" s="48">
        <f>SUM(AJ234:AJ234)</f>
        <v>0</v>
      </c>
      <c r="AT233" s="48">
        <f>SUM(AK234:AK234)</f>
        <v>0</v>
      </c>
      <c r="AU233" s="48">
        <f>SUM(AL234:AL234)</f>
        <v>0</v>
      </c>
    </row>
    <row r="234" spans="1:64" x14ac:dyDescent="0.25">
      <c r="A234" s="4" t="s">
        <v>123</v>
      </c>
      <c r="B234" s="14" t="s">
        <v>285</v>
      </c>
      <c r="C234" s="136" t="s">
        <v>528</v>
      </c>
      <c r="D234" s="137"/>
      <c r="E234" s="137"/>
      <c r="F234" s="137"/>
      <c r="G234" s="14" t="s">
        <v>595</v>
      </c>
      <c r="H234" s="78">
        <v>8.9600000000000009</v>
      </c>
      <c r="I234" s="24">
        <v>0</v>
      </c>
      <c r="J234" s="24">
        <f>H234*AO234</f>
        <v>0</v>
      </c>
      <c r="K234" s="24">
        <f>H234*AP234</f>
        <v>0</v>
      </c>
      <c r="L234" s="24">
        <f>H234*I234</f>
        <v>0</v>
      </c>
      <c r="M234" s="35" t="s">
        <v>616</v>
      </c>
      <c r="N234" s="5"/>
      <c r="Z234" s="42">
        <f>IF(AQ234="5",BJ234,0)</f>
        <v>0</v>
      </c>
      <c r="AB234" s="42">
        <f>IF(AQ234="1",BH234,0)</f>
        <v>0</v>
      </c>
      <c r="AC234" s="42">
        <f>IF(AQ234="1",BI234,0)</f>
        <v>0</v>
      </c>
      <c r="AD234" s="42">
        <f>IF(AQ234="7",BH234,0)</f>
        <v>0</v>
      </c>
      <c r="AE234" s="42">
        <f>IF(AQ234="7",BI234,0)</f>
        <v>0</v>
      </c>
      <c r="AF234" s="42">
        <f>IF(AQ234="2",BH234,0)</f>
        <v>0</v>
      </c>
      <c r="AG234" s="42">
        <f>IF(AQ234="2",BI234,0)</f>
        <v>0</v>
      </c>
      <c r="AH234" s="42">
        <f>IF(AQ234="0",BJ234,0)</f>
        <v>0</v>
      </c>
      <c r="AI234" s="41"/>
      <c r="AJ234" s="24">
        <f>IF(AN234=0,L234,0)</f>
        <v>0</v>
      </c>
      <c r="AK234" s="24">
        <f>IF(AN234=15,L234,0)</f>
        <v>0</v>
      </c>
      <c r="AL234" s="24">
        <f>IF(AN234=21,L234,0)</f>
        <v>0</v>
      </c>
      <c r="AN234" s="42">
        <v>15</v>
      </c>
      <c r="AO234" s="42">
        <f>I234*0.706371441447396</f>
        <v>0</v>
      </c>
      <c r="AP234" s="42">
        <f>I234*(1-0.706371441447396)</f>
        <v>0</v>
      </c>
      <c r="AQ234" s="43" t="s">
        <v>13</v>
      </c>
      <c r="AV234" s="42">
        <f>AW234+AX234</f>
        <v>0</v>
      </c>
      <c r="AW234" s="42">
        <f>H234*AO234</f>
        <v>0</v>
      </c>
      <c r="AX234" s="42">
        <f>H234*AP234</f>
        <v>0</v>
      </c>
      <c r="AY234" s="45" t="s">
        <v>648</v>
      </c>
      <c r="AZ234" s="45" t="s">
        <v>662</v>
      </c>
      <c r="BA234" s="41" t="s">
        <v>664</v>
      </c>
      <c r="BC234" s="42">
        <f>AW234+AX234</f>
        <v>0</v>
      </c>
      <c r="BD234" s="42">
        <f>I234/(100-BE234)*100</f>
        <v>0</v>
      </c>
      <c r="BE234" s="42">
        <v>0</v>
      </c>
      <c r="BF234" s="42">
        <f>232</f>
        <v>232</v>
      </c>
      <c r="BH234" s="24">
        <f>H234*AO234</f>
        <v>0</v>
      </c>
      <c r="BI234" s="24">
        <f>H234*AP234</f>
        <v>0</v>
      </c>
      <c r="BJ234" s="24">
        <f>H234*I234</f>
        <v>0</v>
      </c>
      <c r="BK234" s="24" t="s">
        <v>669</v>
      </c>
      <c r="BL234" s="42">
        <v>786</v>
      </c>
    </row>
    <row r="235" spans="1:64" x14ac:dyDescent="0.25">
      <c r="A235" s="5"/>
      <c r="C235" s="18" t="s">
        <v>529</v>
      </c>
      <c r="F235" s="20"/>
      <c r="H235" s="79">
        <v>8.9600000000000009</v>
      </c>
      <c r="M235" s="36"/>
      <c r="N235" s="5"/>
    </row>
    <row r="236" spans="1:64" x14ac:dyDescent="0.25">
      <c r="A236" s="6"/>
      <c r="B236" s="15" t="s">
        <v>100</v>
      </c>
      <c r="C236" s="141" t="s">
        <v>530</v>
      </c>
      <c r="D236" s="142"/>
      <c r="E236" s="142"/>
      <c r="F236" s="142"/>
      <c r="G236" s="22" t="s">
        <v>6</v>
      </c>
      <c r="H236" s="22" t="s">
        <v>6</v>
      </c>
      <c r="I236" s="22" t="s">
        <v>6</v>
      </c>
      <c r="J236" s="48">
        <f>SUM(J237:J243)</f>
        <v>0</v>
      </c>
      <c r="K236" s="48">
        <f>SUM(K237:K243)</f>
        <v>0</v>
      </c>
      <c r="L236" s="48">
        <f>SUM(L237:L243)</f>
        <v>0</v>
      </c>
      <c r="M236" s="37"/>
      <c r="N236" s="5"/>
      <c r="AI236" s="41"/>
      <c r="AS236" s="48">
        <f>SUM(AJ237:AJ243)</f>
        <v>0</v>
      </c>
      <c r="AT236" s="48">
        <f>SUM(AK237:AK243)</f>
        <v>0</v>
      </c>
      <c r="AU236" s="48">
        <f>SUM(AL237:AL243)</f>
        <v>0</v>
      </c>
    </row>
    <row r="237" spans="1:64" x14ac:dyDescent="0.25">
      <c r="A237" s="4" t="s">
        <v>124</v>
      </c>
      <c r="B237" s="14" t="s">
        <v>286</v>
      </c>
      <c r="C237" s="136" t="s">
        <v>531</v>
      </c>
      <c r="D237" s="137"/>
      <c r="E237" s="137"/>
      <c r="F237" s="137"/>
      <c r="G237" s="14" t="s">
        <v>595</v>
      </c>
      <c r="H237" s="78">
        <v>54.582999999999998</v>
      </c>
      <c r="I237" s="24">
        <v>0</v>
      </c>
      <c r="J237" s="24">
        <f>H237*AO237</f>
        <v>0</v>
      </c>
      <c r="K237" s="24">
        <f>H237*AP237</f>
        <v>0</v>
      </c>
      <c r="L237" s="24">
        <f>H237*I237</f>
        <v>0</v>
      </c>
      <c r="M237" s="35" t="s">
        <v>616</v>
      </c>
      <c r="N237" s="5"/>
      <c r="Z237" s="42">
        <f>IF(AQ237="5",BJ237,0)</f>
        <v>0</v>
      </c>
      <c r="AB237" s="42">
        <f>IF(AQ237="1",BH237,0)</f>
        <v>0</v>
      </c>
      <c r="AC237" s="42">
        <f>IF(AQ237="1",BI237,0)</f>
        <v>0</v>
      </c>
      <c r="AD237" s="42">
        <f>IF(AQ237="7",BH237,0)</f>
        <v>0</v>
      </c>
      <c r="AE237" s="42">
        <f>IF(AQ237="7",BI237,0)</f>
        <v>0</v>
      </c>
      <c r="AF237" s="42">
        <f>IF(AQ237="2",BH237,0)</f>
        <v>0</v>
      </c>
      <c r="AG237" s="42">
        <f>IF(AQ237="2",BI237,0)</f>
        <v>0</v>
      </c>
      <c r="AH237" s="42">
        <f>IF(AQ237="0",BJ237,0)</f>
        <v>0</v>
      </c>
      <c r="AI237" s="41"/>
      <c r="AJ237" s="24">
        <f>IF(AN237=0,L237,0)</f>
        <v>0</v>
      </c>
      <c r="AK237" s="24">
        <f>IF(AN237=15,L237,0)</f>
        <v>0</v>
      </c>
      <c r="AL237" s="24">
        <f>IF(AN237=21,L237,0)</f>
        <v>0</v>
      </c>
      <c r="AN237" s="42">
        <v>15</v>
      </c>
      <c r="AO237" s="42">
        <f>I237*0.337738939765148</f>
        <v>0</v>
      </c>
      <c r="AP237" s="42">
        <f>I237*(1-0.337738939765148)</f>
        <v>0</v>
      </c>
      <c r="AQ237" s="43" t="s">
        <v>7</v>
      </c>
      <c r="AV237" s="42">
        <f>AW237+AX237</f>
        <v>0</v>
      </c>
      <c r="AW237" s="42">
        <f>H237*AO237</f>
        <v>0</v>
      </c>
      <c r="AX237" s="42">
        <f>H237*AP237</f>
        <v>0</v>
      </c>
      <c r="AY237" s="45" t="s">
        <v>649</v>
      </c>
      <c r="AZ237" s="45" t="s">
        <v>663</v>
      </c>
      <c r="BA237" s="41" t="s">
        <v>664</v>
      </c>
      <c r="BC237" s="42">
        <f>AW237+AX237</f>
        <v>0</v>
      </c>
      <c r="BD237" s="42">
        <f>I237/(100-BE237)*100</f>
        <v>0</v>
      </c>
      <c r="BE237" s="42">
        <v>0</v>
      </c>
      <c r="BF237" s="42">
        <f>235</f>
        <v>235</v>
      </c>
      <c r="BH237" s="24">
        <f>H237*AO237</f>
        <v>0</v>
      </c>
      <c r="BI237" s="24">
        <f>H237*AP237</f>
        <v>0</v>
      </c>
      <c r="BJ237" s="24">
        <f>H237*I237</f>
        <v>0</v>
      </c>
      <c r="BK237" s="24" t="s">
        <v>669</v>
      </c>
      <c r="BL237" s="42">
        <v>94</v>
      </c>
    </row>
    <row r="238" spans="1:64" x14ac:dyDescent="0.25">
      <c r="A238" s="5"/>
      <c r="C238" s="18" t="s">
        <v>532</v>
      </c>
      <c r="F238" s="20"/>
      <c r="H238" s="79">
        <v>52.183</v>
      </c>
      <c r="M238" s="36"/>
      <c r="N238" s="5"/>
    </row>
    <row r="239" spans="1:64" x14ac:dyDescent="0.25">
      <c r="A239" s="5"/>
      <c r="C239" s="18" t="s">
        <v>533</v>
      </c>
      <c r="F239" s="20"/>
      <c r="H239" s="79">
        <v>2.4</v>
      </c>
      <c r="M239" s="36"/>
      <c r="N239" s="5"/>
    </row>
    <row r="240" spans="1:64" x14ac:dyDescent="0.25">
      <c r="A240" s="4" t="s">
        <v>125</v>
      </c>
      <c r="B240" s="14" t="s">
        <v>287</v>
      </c>
      <c r="C240" s="136" t="s">
        <v>534</v>
      </c>
      <c r="D240" s="137"/>
      <c r="E240" s="137"/>
      <c r="F240" s="137"/>
      <c r="G240" s="14" t="s">
        <v>595</v>
      </c>
      <c r="H240" s="78">
        <v>44.8</v>
      </c>
      <c r="I240" s="24">
        <v>0</v>
      </c>
      <c r="J240" s="24">
        <f>H240*AO240</f>
        <v>0</v>
      </c>
      <c r="K240" s="24">
        <f>H240*AP240</f>
        <v>0</v>
      </c>
      <c r="L240" s="24">
        <f>H240*I240</f>
        <v>0</v>
      </c>
      <c r="M240" s="35" t="s">
        <v>616</v>
      </c>
      <c r="N240" s="5"/>
      <c r="Z240" s="42">
        <f>IF(AQ240="5",BJ240,0)</f>
        <v>0</v>
      </c>
      <c r="AB240" s="42">
        <f>IF(AQ240="1",BH240,0)</f>
        <v>0</v>
      </c>
      <c r="AC240" s="42">
        <f>IF(AQ240="1",BI240,0)</f>
        <v>0</v>
      </c>
      <c r="AD240" s="42">
        <f>IF(AQ240="7",BH240,0)</f>
        <v>0</v>
      </c>
      <c r="AE240" s="42">
        <f>IF(AQ240="7",BI240,0)</f>
        <v>0</v>
      </c>
      <c r="AF240" s="42">
        <f>IF(AQ240="2",BH240,0)</f>
        <v>0</v>
      </c>
      <c r="AG240" s="42">
        <f>IF(AQ240="2",BI240,0)</f>
        <v>0</v>
      </c>
      <c r="AH240" s="42">
        <f>IF(AQ240="0",BJ240,0)</f>
        <v>0</v>
      </c>
      <c r="AI240" s="41"/>
      <c r="AJ240" s="24">
        <f>IF(AN240=0,L240,0)</f>
        <v>0</v>
      </c>
      <c r="AK240" s="24">
        <f>IF(AN240=15,L240,0)</f>
        <v>0</v>
      </c>
      <c r="AL240" s="24">
        <f>IF(AN240=21,L240,0)</f>
        <v>0</v>
      </c>
      <c r="AN240" s="42">
        <v>15</v>
      </c>
      <c r="AO240" s="42">
        <f>I240*0.000457317073170732</f>
        <v>0</v>
      </c>
      <c r="AP240" s="42">
        <f>I240*(1-0.000457317073170732)</f>
        <v>0</v>
      </c>
      <c r="AQ240" s="43" t="s">
        <v>7</v>
      </c>
      <c r="AV240" s="42">
        <f>AW240+AX240</f>
        <v>0</v>
      </c>
      <c r="AW240" s="42">
        <f>H240*AO240</f>
        <v>0</v>
      </c>
      <c r="AX240" s="42">
        <f>H240*AP240</f>
        <v>0</v>
      </c>
      <c r="AY240" s="45" t="s">
        <v>649</v>
      </c>
      <c r="AZ240" s="45" t="s">
        <v>663</v>
      </c>
      <c r="BA240" s="41" t="s">
        <v>664</v>
      </c>
      <c r="BC240" s="42">
        <f>AW240+AX240</f>
        <v>0</v>
      </c>
      <c r="BD240" s="42">
        <f>I240/(100-BE240)*100</f>
        <v>0</v>
      </c>
      <c r="BE240" s="42">
        <v>0</v>
      </c>
      <c r="BF240" s="42">
        <f>238</f>
        <v>238</v>
      </c>
      <c r="BH240" s="24">
        <f>H240*AO240</f>
        <v>0</v>
      </c>
      <c r="BI240" s="24">
        <f>H240*AP240</f>
        <v>0</v>
      </c>
      <c r="BJ240" s="24">
        <f>H240*I240</f>
        <v>0</v>
      </c>
      <c r="BK240" s="24" t="s">
        <v>669</v>
      </c>
      <c r="BL240" s="42">
        <v>94</v>
      </c>
    </row>
    <row r="241" spans="1:64" x14ac:dyDescent="0.25">
      <c r="A241" s="5"/>
      <c r="C241" s="18" t="s">
        <v>535</v>
      </c>
      <c r="F241" s="20"/>
      <c r="H241" s="79">
        <v>44.8</v>
      </c>
      <c r="M241" s="36"/>
      <c r="N241" s="5"/>
    </row>
    <row r="242" spans="1:64" x14ac:dyDescent="0.25">
      <c r="A242" s="4" t="s">
        <v>126</v>
      </c>
      <c r="B242" s="14" t="s">
        <v>288</v>
      </c>
      <c r="C242" s="136" t="s">
        <v>536</v>
      </c>
      <c r="D242" s="137"/>
      <c r="E242" s="137"/>
      <c r="F242" s="137"/>
      <c r="G242" s="14" t="s">
        <v>595</v>
      </c>
      <c r="H242" s="78">
        <v>44.8</v>
      </c>
      <c r="I242" s="24">
        <v>0</v>
      </c>
      <c r="J242" s="24">
        <f>H242*AO242</f>
        <v>0</v>
      </c>
      <c r="K242" s="24">
        <f>H242*AP242</f>
        <v>0</v>
      </c>
      <c r="L242" s="24">
        <f>H242*I242</f>
        <v>0</v>
      </c>
      <c r="M242" s="35" t="s">
        <v>616</v>
      </c>
      <c r="N242" s="5"/>
      <c r="Z242" s="42">
        <f>IF(AQ242="5",BJ242,0)</f>
        <v>0</v>
      </c>
      <c r="AB242" s="42">
        <f>IF(AQ242="1",BH242,0)</f>
        <v>0</v>
      </c>
      <c r="AC242" s="42">
        <f>IF(AQ242="1",BI242,0)</f>
        <v>0</v>
      </c>
      <c r="AD242" s="42">
        <f>IF(AQ242="7",BH242,0)</f>
        <v>0</v>
      </c>
      <c r="AE242" s="42">
        <f>IF(AQ242="7",BI242,0)</f>
        <v>0</v>
      </c>
      <c r="AF242" s="42">
        <f>IF(AQ242="2",BH242,0)</f>
        <v>0</v>
      </c>
      <c r="AG242" s="42">
        <f>IF(AQ242="2",BI242,0)</f>
        <v>0</v>
      </c>
      <c r="AH242" s="42">
        <f>IF(AQ242="0",BJ242,0)</f>
        <v>0</v>
      </c>
      <c r="AI242" s="41"/>
      <c r="AJ242" s="24">
        <f>IF(AN242=0,L242,0)</f>
        <v>0</v>
      </c>
      <c r="AK242" s="24">
        <f>IF(AN242=15,L242,0)</f>
        <v>0</v>
      </c>
      <c r="AL242" s="24">
        <f>IF(AN242=21,L242,0)</f>
        <v>0</v>
      </c>
      <c r="AN242" s="42">
        <v>15</v>
      </c>
      <c r="AO242" s="42">
        <f>I242*0.915409836065574</f>
        <v>0</v>
      </c>
      <c r="AP242" s="42">
        <f>I242*(1-0.915409836065574)</f>
        <v>0</v>
      </c>
      <c r="AQ242" s="43" t="s">
        <v>7</v>
      </c>
      <c r="AV242" s="42">
        <f>AW242+AX242</f>
        <v>0</v>
      </c>
      <c r="AW242" s="42">
        <f>H242*AO242</f>
        <v>0</v>
      </c>
      <c r="AX242" s="42">
        <f>H242*AP242</f>
        <v>0</v>
      </c>
      <c r="AY242" s="45" t="s">
        <v>649</v>
      </c>
      <c r="AZ242" s="45" t="s">
        <v>663</v>
      </c>
      <c r="BA242" s="41" t="s">
        <v>664</v>
      </c>
      <c r="BC242" s="42">
        <f>AW242+AX242</f>
        <v>0</v>
      </c>
      <c r="BD242" s="42">
        <f>I242/(100-BE242)*100</f>
        <v>0</v>
      </c>
      <c r="BE242" s="42">
        <v>0</v>
      </c>
      <c r="BF242" s="42">
        <f>240</f>
        <v>240</v>
      </c>
      <c r="BH242" s="24">
        <f>H242*AO242</f>
        <v>0</v>
      </c>
      <c r="BI242" s="24">
        <f>H242*AP242</f>
        <v>0</v>
      </c>
      <c r="BJ242" s="24">
        <f>H242*I242</f>
        <v>0</v>
      </c>
      <c r="BK242" s="24" t="s">
        <v>669</v>
      </c>
      <c r="BL242" s="42">
        <v>94</v>
      </c>
    </row>
    <row r="243" spans="1:64" x14ac:dyDescent="0.25">
      <c r="A243" s="4" t="s">
        <v>127</v>
      </c>
      <c r="B243" s="14" t="s">
        <v>289</v>
      </c>
      <c r="C243" s="136" t="s">
        <v>537</v>
      </c>
      <c r="D243" s="137"/>
      <c r="E243" s="137"/>
      <c r="F243" s="137"/>
      <c r="G243" s="14" t="s">
        <v>595</v>
      </c>
      <c r="H243" s="78">
        <v>44.8</v>
      </c>
      <c r="I243" s="24">
        <v>0</v>
      </c>
      <c r="J243" s="24">
        <f>H243*AO243</f>
        <v>0</v>
      </c>
      <c r="K243" s="24">
        <f>H243*AP243</f>
        <v>0</v>
      </c>
      <c r="L243" s="24">
        <f>H243*I243</f>
        <v>0</v>
      </c>
      <c r="M243" s="35" t="s">
        <v>616</v>
      </c>
      <c r="N243" s="5"/>
      <c r="Z243" s="42">
        <f>IF(AQ243="5",BJ243,0)</f>
        <v>0</v>
      </c>
      <c r="AB243" s="42">
        <f>IF(AQ243="1",BH243,0)</f>
        <v>0</v>
      </c>
      <c r="AC243" s="42">
        <f>IF(AQ243="1",BI243,0)</f>
        <v>0</v>
      </c>
      <c r="AD243" s="42">
        <f>IF(AQ243="7",BH243,0)</f>
        <v>0</v>
      </c>
      <c r="AE243" s="42">
        <f>IF(AQ243="7",BI243,0)</f>
        <v>0</v>
      </c>
      <c r="AF243" s="42">
        <f>IF(AQ243="2",BH243,0)</f>
        <v>0</v>
      </c>
      <c r="AG243" s="42">
        <f>IF(AQ243="2",BI243,0)</f>
        <v>0</v>
      </c>
      <c r="AH243" s="42">
        <f>IF(AQ243="0",BJ243,0)</f>
        <v>0</v>
      </c>
      <c r="AI243" s="41"/>
      <c r="AJ243" s="24">
        <f>IF(AN243=0,L243,0)</f>
        <v>0</v>
      </c>
      <c r="AK243" s="24">
        <f>IF(AN243=15,L243,0)</f>
        <v>0</v>
      </c>
      <c r="AL243" s="24">
        <f>IF(AN243=21,L243,0)</f>
        <v>0</v>
      </c>
      <c r="AN243" s="42">
        <v>15</v>
      </c>
      <c r="AO243" s="42">
        <f>I243*0</f>
        <v>0</v>
      </c>
      <c r="AP243" s="42">
        <f>I243*(1-0)</f>
        <v>0</v>
      </c>
      <c r="AQ243" s="43" t="s">
        <v>7</v>
      </c>
      <c r="AV243" s="42">
        <f>AW243+AX243</f>
        <v>0</v>
      </c>
      <c r="AW243" s="42">
        <f>H243*AO243</f>
        <v>0</v>
      </c>
      <c r="AX243" s="42">
        <f>H243*AP243</f>
        <v>0</v>
      </c>
      <c r="AY243" s="45" t="s">
        <v>649</v>
      </c>
      <c r="AZ243" s="45" t="s">
        <v>663</v>
      </c>
      <c r="BA243" s="41" t="s">
        <v>664</v>
      </c>
      <c r="BC243" s="42">
        <f>AW243+AX243</f>
        <v>0</v>
      </c>
      <c r="BD243" s="42">
        <f>I243/(100-BE243)*100</f>
        <v>0</v>
      </c>
      <c r="BE243" s="42">
        <v>0</v>
      </c>
      <c r="BF243" s="42">
        <f>241</f>
        <v>241</v>
      </c>
      <c r="BH243" s="24">
        <f>H243*AO243</f>
        <v>0</v>
      </c>
      <c r="BI243" s="24">
        <f>H243*AP243</f>
        <v>0</v>
      </c>
      <c r="BJ243" s="24">
        <f>H243*I243</f>
        <v>0</v>
      </c>
      <c r="BK243" s="24" t="s">
        <v>669</v>
      </c>
      <c r="BL243" s="42">
        <v>94</v>
      </c>
    </row>
    <row r="244" spans="1:64" x14ac:dyDescent="0.25">
      <c r="A244" s="6"/>
      <c r="B244" s="15" t="s">
        <v>290</v>
      </c>
      <c r="C244" s="141" t="s">
        <v>538</v>
      </c>
      <c r="D244" s="142"/>
      <c r="E244" s="142"/>
      <c r="F244" s="142"/>
      <c r="G244" s="22" t="s">
        <v>6</v>
      </c>
      <c r="H244" s="22" t="s">
        <v>6</v>
      </c>
      <c r="I244" s="22" t="s">
        <v>6</v>
      </c>
      <c r="J244" s="48">
        <f>SUM(J245:J245)</f>
        <v>0</v>
      </c>
      <c r="K244" s="48">
        <f>SUM(K245:K245)</f>
        <v>0</v>
      </c>
      <c r="L244" s="48">
        <f>SUM(L245:L245)</f>
        <v>0</v>
      </c>
      <c r="M244" s="37"/>
      <c r="N244" s="5"/>
      <c r="AI244" s="41"/>
      <c r="AS244" s="48">
        <f>SUM(AJ245:AJ245)</f>
        <v>0</v>
      </c>
      <c r="AT244" s="48">
        <f>SUM(AK245:AK245)</f>
        <v>0</v>
      </c>
      <c r="AU244" s="48">
        <f>SUM(AL245:AL245)</f>
        <v>0</v>
      </c>
    </row>
    <row r="245" spans="1:64" x14ac:dyDescent="0.25">
      <c r="A245" s="4" t="s">
        <v>128</v>
      </c>
      <c r="B245" s="14" t="s">
        <v>291</v>
      </c>
      <c r="C245" s="136" t="s">
        <v>539</v>
      </c>
      <c r="D245" s="137"/>
      <c r="E245" s="137"/>
      <c r="F245" s="137"/>
      <c r="G245" s="14" t="s">
        <v>600</v>
      </c>
      <c r="H245" s="78">
        <v>1</v>
      </c>
      <c r="I245" s="24">
        <v>0</v>
      </c>
      <c r="J245" s="24">
        <f>H245*AO245</f>
        <v>0</v>
      </c>
      <c r="K245" s="24">
        <f>H245*AP245</f>
        <v>0</v>
      </c>
      <c r="L245" s="24">
        <f>H245*I245</f>
        <v>0</v>
      </c>
      <c r="M245" s="35"/>
      <c r="N245" s="5"/>
      <c r="Z245" s="42">
        <f>IF(AQ245="5",BJ245,0)</f>
        <v>0</v>
      </c>
      <c r="AB245" s="42">
        <f>IF(AQ245="1",BH245,0)</f>
        <v>0</v>
      </c>
      <c r="AC245" s="42">
        <f>IF(AQ245="1",BI245,0)</f>
        <v>0</v>
      </c>
      <c r="AD245" s="42">
        <f>IF(AQ245="7",BH245,0)</f>
        <v>0</v>
      </c>
      <c r="AE245" s="42">
        <f>IF(AQ245="7",BI245,0)</f>
        <v>0</v>
      </c>
      <c r="AF245" s="42">
        <f>IF(AQ245="2",BH245,0)</f>
        <v>0</v>
      </c>
      <c r="AG245" s="42">
        <f>IF(AQ245="2",BI245,0)</f>
        <v>0</v>
      </c>
      <c r="AH245" s="42">
        <f>IF(AQ245="0",BJ245,0)</f>
        <v>0</v>
      </c>
      <c r="AI245" s="41"/>
      <c r="AJ245" s="24">
        <f>IF(AN245=0,L245,0)</f>
        <v>0</v>
      </c>
      <c r="AK245" s="24">
        <f>IF(AN245=15,L245,0)</f>
        <v>0</v>
      </c>
      <c r="AL245" s="24">
        <f>IF(AN245=21,L245,0)</f>
        <v>0</v>
      </c>
      <c r="AN245" s="42">
        <v>15</v>
      </c>
      <c r="AO245" s="42">
        <f>I245*0</f>
        <v>0</v>
      </c>
      <c r="AP245" s="42">
        <f>I245*(1-0)</f>
        <v>0</v>
      </c>
      <c r="AQ245" s="43" t="s">
        <v>8</v>
      </c>
      <c r="AV245" s="42">
        <f>AW245+AX245</f>
        <v>0</v>
      </c>
      <c r="AW245" s="42">
        <f>H245*AO245</f>
        <v>0</v>
      </c>
      <c r="AX245" s="42">
        <f>H245*AP245</f>
        <v>0</v>
      </c>
      <c r="AY245" s="45" t="s">
        <v>650</v>
      </c>
      <c r="AZ245" s="45" t="s">
        <v>663</v>
      </c>
      <c r="BA245" s="41" t="s">
        <v>664</v>
      </c>
      <c r="BC245" s="42">
        <f>AW245+AX245</f>
        <v>0</v>
      </c>
      <c r="BD245" s="42">
        <f>I245/(100-BE245)*100</f>
        <v>0</v>
      </c>
      <c r="BE245" s="42">
        <v>0</v>
      </c>
      <c r="BF245" s="42">
        <f>243</f>
        <v>243</v>
      </c>
      <c r="BH245" s="24">
        <f>H245*AO245</f>
        <v>0</v>
      </c>
      <c r="BI245" s="24">
        <f>H245*AP245</f>
        <v>0</v>
      </c>
      <c r="BJ245" s="24">
        <f>H245*I245</f>
        <v>0</v>
      </c>
      <c r="BK245" s="24" t="s">
        <v>669</v>
      </c>
      <c r="BL245" s="42" t="s">
        <v>290</v>
      </c>
    </row>
    <row r="246" spans="1:64" x14ac:dyDescent="0.25">
      <c r="A246" s="6"/>
      <c r="B246" s="15" t="s">
        <v>102</v>
      </c>
      <c r="C246" s="141" t="s">
        <v>540</v>
      </c>
      <c r="D246" s="142"/>
      <c r="E246" s="142"/>
      <c r="F246" s="142"/>
      <c r="G246" s="22" t="s">
        <v>6</v>
      </c>
      <c r="H246" s="22" t="s">
        <v>6</v>
      </c>
      <c r="I246" s="22" t="s">
        <v>6</v>
      </c>
      <c r="J246" s="48">
        <f>SUM(J247:J292)</f>
        <v>0</v>
      </c>
      <c r="K246" s="48">
        <f>SUM(K247:K292)</f>
        <v>0</v>
      </c>
      <c r="L246" s="48">
        <f>SUM(L247:L292)</f>
        <v>0</v>
      </c>
      <c r="M246" s="37"/>
      <c r="N246" s="5"/>
      <c r="AI246" s="41"/>
      <c r="AS246" s="48">
        <f>SUM(AJ247:AJ292)</f>
        <v>0</v>
      </c>
      <c r="AT246" s="48">
        <f>SUM(AK247:AK292)</f>
        <v>0</v>
      </c>
      <c r="AU246" s="48">
        <f>SUM(AL247:AL292)</f>
        <v>0</v>
      </c>
    </row>
    <row r="247" spans="1:64" x14ac:dyDescent="0.25">
      <c r="A247" s="4" t="s">
        <v>129</v>
      </c>
      <c r="B247" s="14" t="s">
        <v>292</v>
      </c>
      <c r="C247" s="136" t="s">
        <v>541</v>
      </c>
      <c r="D247" s="137"/>
      <c r="E247" s="137"/>
      <c r="F247" s="137"/>
      <c r="G247" s="14" t="s">
        <v>595</v>
      </c>
      <c r="H247" s="78">
        <v>2.1160000000000001</v>
      </c>
      <c r="I247" s="24">
        <v>0</v>
      </c>
      <c r="J247" s="24">
        <f>H247*AO247</f>
        <v>0</v>
      </c>
      <c r="K247" s="24">
        <f>H247*AP247</f>
        <v>0</v>
      </c>
      <c r="L247" s="24">
        <f>H247*I247</f>
        <v>0</v>
      </c>
      <c r="M247" s="35" t="s">
        <v>616</v>
      </c>
      <c r="N247" s="5"/>
      <c r="Z247" s="42">
        <f>IF(AQ247="5",BJ247,0)</f>
        <v>0</v>
      </c>
      <c r="AB247" s="42">
        <f>IF(AQ247="1",BH247,0)</f>
        <v>0</v>
      </c>
      <c r="AC247" s="42">
        <f>IF(AQ247="1",BI247,0)</f>
        <v>0</v>
      </c>
      <c r="AD247" s="42">
        <f>IF(AQ247="7",BH247,0)</f>
        <v>0</v>
      </c>
      <c r="AE247" s="42">
        <f>IF(AQ247="7",BI247,0)</f>
        <v>0</v>
      </c>
      <c r="AF247" s="42">
        <f>IF(AQ247="2",BH247,0)</f>
        <v>0</v>
      </c>
      <c r="AG247" s="42">
        <f>IF(AQ247="2",BI247,0)</f>
        <v>0</v>
      </c>
      <c r="AH247" s="42">
        <f>IF(AQ247="0",BJ247,0)</f>
        <v>0</v>
      </c>
      <c r="AI247" s="41"/>
      <c r="AJ247" s="24">
        <f>IF(AN247=0,L247,0)</f>
        <v>0</v>
      </c>
      <c r="AK247" s="24">
        <f>IF(AN247=15,L247,0)</f>
        <v>0</v>
      </c>
      <c r="AL247" s="24">
        <f>IF(AN247=21,L247,0)</f>
        <v>0</v>
      </c>
      <c r="AN247" s="42">
        <v>15</v>
      </c>
      <c r="AO247" s="42">
        <f>I247*0.104621667616953</f>
        <v>0</v>
      </c>
      <c r="AP247" s="42">
        <f>I247*(1-0.104621667616953)</f>
        <v>0</v>
      </c>
      <c r="AQ247" s="43" t="s">
        <v>7</v>
      </c>
      <c r="AV247" s="42">
        <f>AW247+AX247</f>
        <v>0</v>
      </c>
      <c r="AW247" s="42">
        <f>H247*AO247</f>
        <v>0</v>
      </c>
      <c r="AX247" s="42">
        <f>H247*AP247</f>
        <v>0</v>
      </c>
      <c r="AY247" s="45" t="s">
        <v>651</v>
      </c>
      <c r="AZ247" s="45" t="s">
        <v>663</v>
      </c>
      <c r="BA247" s="41" t="s">
        <v>664</v>
      </c>
      <c r="BC247" s="42">
        <f>AW247+AX247</f>
        <v>0</v>
      </c>
      <c r="BD247" s="42">
        <f>I247/(100-BE247)*100</f>
        <v>0</v>
      </c>
      <c r="BE247" s="42">
        <v>0</v>
      </c>
      <c r="BF247" s="42">
        <f>245</f>
        <v>245</v>
      </c>
      <c r="BH247" s="24">
        <f>H247*AO247</f>
        <v>0</v>
      </c>
      <c r="BI247" s="24">
        <f>H247*AP247</f>
        <v>0</v>
      </c>
      <c r="BJ247" s="24">
        <f>H247*I247</f>
        <v>0</v>
      </c>
      <c r="BK247" s="24" t="s">
        <v>669</v>
      </c>
      <c r="BL247" s="42">
        <v>96</v>
      </c>
    </row>
    <row r="248" spans="1:64" x14ac:dyDescent="0.25">
      <c r="A248" s="5"/>
      <c r="C248" s="18" t="s">
        <v>542</v>
      </c>
      <c r="F248" s="20"/>
      <c r="H248" s="79">
        <v>2.1160000000000001</v>
      </c>
      <c r="M248" s="36"/>
      <c r="N248" s="5"/>
    </row>
    <row r="249" spans="1:64" x14ac:dyDescent="0.25">
      <c r="A249" s="4" t="s">
        <v>130</v>
      </c>
      <c r="B249" s="14" t="s">
        <v>293</v>
      </c>
      <c r="C249" s="136" t="s">
        <v>543</v>
      </c>
      <c r="D249" s="137"/>
      <c r="E249" s="137"/>
      <c r="F249" s="137"/>
      <c r="G249" s="14" t="s">
        <v>595</v>
      </c>
      <c r="H249" s="78">
        <v>4.7859999999999996</v>
      </c>
      <c r="I249" s="24">
        <v>0</v>
      </c>
      <c r="J249" s="24">
        <f>H249*AO249</f>
        <v>0</v>
      </c>
      <c r="K249" s="24">
        <f>H249*AP249</f>
        <v>0</v>
      </c>
      <c r="L249" s="24">
        <f>H249*I249</f>
        <v>0</v>
      </c>
      <c r="M249" s="35" t="s">
        <v>616</v>
      </c>
      <c r="N249" s="5"/>
      <c r="Z249" s="42">
        <f>IF(AQ249="5",BJ249,0)</f>
        <v>0</v>
      </c>
      <c r="AB249" s="42">
        <f>IF(AQ249="1",BH249,0)</f>
        <v>0</v>
      </c>
      <c r="AC249" s="42">
        <f>IF(AQ249="1",BI249,0)</f>
        <v>0</v>
      </c>
      <c r="AD249" s="42">
        <f>IF(AQ249="7",BH249,0)</f>
        <v>0</v>
      </c>
      <c r="AE249" s="42">
        <f>IF(AQ249="7",BI249,0)</f>
        <v>0</v>
      </c>
      <c r="AF249" s="42">
        <f>IF(AQ249="2",BH249,0)</f>
        <v>0</v>
      </c>
      <c r="AG249" s="42">
        <f>IF(AQ249="2",BI249,0)</f>
        <v>0</v>
      </c>
      <c r="AH249" s="42">
        <f>IF(AQ249="0",BJ249,0)</f>
        <v>0</v>
      </c>
      <c r="AI249" s="41"/>
      <c r="AJ249" s="24">
        <f>IF(AN249=0,L249,0)</f>
        <v>0</v>
      </c>
      <c r="AK249" s="24">
        <f>IF(AN249=15,L249,0)</f>
        <v>0</v>
      </c>
      <c r="AL249" s="24">
        <f>IF(AN249=21,L249,0)</f>
        <v>0</v>
      </c>
      <c r="AN249" s="42">
        <v>15</v>
      </c>
      <c r="AO249" s="42">
        <f>I249*0</f>
        <v>0</v>
      </c>
      <c r="AP249" s="42">
        <f>I249*(1-0)</f>
        <v>0</v>
      </c>
      <c r="AQ249" s="43" t="s">
        <v>7</v>
      </c>
      <c r="AV249" s="42">
        <f>AW249+AX249</f>
        <v>0</v>
      </c>
      <c r="AW249" s="42">
        <f>H249*AO249</f>
        <v>0</v>
      </c>
      <c r="AX249" s="42">
        <f>H249*AP249</f>
        <v>0</v>
      </c>
      <c r="AY249" s="45" t="s">
        <v>651</v>
      </c>
      <c r="AZ249" s="45" t="s">
        <v>663</v>
      </c>
      <c r="BA249" s="41" t="s">
        <v>664</v>
      </c>
      <c r="BC249" s="42">
        <f>AW249+AX249</f>
        <v>0</v>
      </c>
      <c r="BD249" s="42">
        <f>I249/(100-BE249)*100</f>
        <v>0</v>
      </c>
      <c r="BE249" s="42">
        <v>0</v>
      </c>
      <c r="BF249" s="42">
        <f>247</f>
        <v>247</v>
      </c>
      <c r="BH249" s="24">
        <f>H249*AO249</f>
        <v>0</v>
      </c>
      <c r="BI249" s="24">
        <f>H249*AP249</f>
        <v>0</v>
      </c>
      <c r="BJ249" s="24">
        <f>H249*I249</f>
        <v>0</v>
      </c>
      <c r="BK249" s="24" t="s">
        <v>669</v>
      </c>
      <c r="BL249" s="42">
        <v>96</v>
      </c>
    </row>
    <row r="250" spans="1:64" x14ac:dyDescent="0.25">
      <c r="A250" s="5"/>
      <c r="C250" s="18" t="s">
        <v>544</v>
      </c>
      <c r="F250" s="20"/>
      <c r="H250" s="79">
        <v>3.7519999999999998</v>
      </c>
      <c r="M250" s="36"/>
      <c r="N250" s="5"/>
    </row>
    <row r="251" spans="1:64" x14ac:dyDescent="0.25">
      <c r="A251" s="5"/>
      <c r="C251" s="18" t="s">
        <v>370</v>
      </c>
      <c r="F251" s="20"/>
      <c r="H251" s="79">
        <v>1.034</v>
      </c>
      <c r="M251" s="36"/>
      <c r="N251" s="5"/>
    </row>
    <row r="252" spans="1:64" x14ac:dyDescent="0.25">
      <c r="A252" s="4" t="s">
        <v>131</v>
      </c>
      <c r="B252" s="14" t="s">
        <v>294</v>
      </c>
      <c r="C252" s="136" t="s">
        <v>545</v>
      </c>
      <c r="D252" s="137"/>
      <c r="E252" s="137"/>
      <c r="F252" s="137"/>
      <c r="G252" s="14" t="s">
        <v>596</v>
      </c>
      <c r="H252" s="78">
        <v>1.222</v>
      </c>
      <c r="I252" s="24">
        <v>0</v>
      </c>
      <c r="J252" s="24">
        <f>H252*AO252</f>
        <v>0</v>
      </c>
      <c r="K252" s="24">
        <f>H252*AP252</f>
        <v>0</v>
      </c>
      <c r="L252" s="24">
        <f>H252*I252</f>
        <v>0</v>
      </c>
      <c r="M252" s="35" t="s">
        <v>616</v>
      </c>
      <c r="N252" s="5"/>
      <c r="Z252" s="42">
        <f>IF(AQ252="5",BJ252,0)</f>
        <v>0</v>
      </c>
      <c r="AB252" s="42">
        <f>IF(AQ252="1",BH252,0)</f>
        <v>0</v>
      </c>
      <c r="AC252" s="42">
        <f>IF(AQ252="1",BI252,0)</f>
        <v>0</v>
      </c>
      <c r="AD252" s="42">
        <f>IF(AQ252="7",BH252,0)</f>
        <v>0</v>
      </c>
      <c r="AE252" s="42">
        <f>IF(AQ252="7",BI252,0)</f>
        <v>0</v>
      </c>
      <c r="AF252" s="42">
        <f>IF(AQ252="2",BH252,0)</f>
        <v>0</v>
      </c>
      <c r="AG252" s="42">
        <f>IF(AQ252="2",BI252,0)</f>
        <v>0</v>
      </c>
      <c r="AH252" s="42">
        <f>IF(AQ252="0",BJ252,0)</f>
        <v>0</v>
      </c>
      <c r="AI252" s="41"/>
      <c r="AJ252" s="24">
        <f>IF(AN252=0,L252,0)</f>
        <v>0</v>
      </c>
      <c r="AK252" s="24">
        <f>IF(AN252=15,L252,0)</f>
        <v>0</v>
      </c>
      <c r="AL252" s="24">
        <f>IF(AN252=21,L252,0)</f>
        <v>0</v>
      </c>
      <c r="AN252" s="42">
        <v>15</v>
      </c>
      <c r="AO252" s="42">
        <f>I252*0</f>
        <v>0</v>
      </c>
      <c r="AP252" s="42">
        <f>I252*(1-0)</f>
        <v>0</v>
      </c>
      <c r="AQ252" s="43" t="s">
        <v>7</v>
      </c>
      <c r="AV252" s="42">
        <f>AW252+AX252</f>
        <v>0</v>
      </c>
      <c r="AW252" s="42">
        <f>H252*AO252</f>
        <v>0</v>
      </c>
      <c r="AX252" s="42">
        <f>H252*AP252</f>
        <v>0</v>
      </c>
      <c r="AY252" s="45" t="s">
        <v>651</v>
      </c>
      <c r="AZ252" s="45" t="s">
        <v>663</v>
      </c>
      <c r="BA252" s="41" t="s">
        <v>664</v>
      </c>
      <c r="BC252" s="42">
        <f>AW252+AX252</f>
        <v>0</v>
      </c>
      <c r="BD252" s="42">
        <f>I252/(100-BE252)*100</f>
        <v>0</v>
      </c>
      <c r="BE252" s="42">
        <v>0</v>
      </c>
      <c r="BF252" s="42">
        <f>250</f>
        <v>250</v>
      </c>
      <c r="BH252" s="24">
        <f>H252*AO252</f>
        <v>0</v>
      </c>
      <c r="BI252" s="24">
        <f>H252*AP252</f>
        <v>0</v>
      </c>
      <c r="BJ252" s="24">
        <f>H252*I252</f>
        <v>0</v>
      </c>
      <c r="BK252" s="24" t="s">
        <v>669</v>
      </c>
      <c r="BL252" s="42">
        <v>96</v>
      </c>
    </row>
    <row r="253" spans="1:64" x14ac:dyDescent="0.25">
      <c r="A253" s="5"/>
      <c r="C253" s="18" t="s">
        <v>546</v>
      </c>
      <c r="F253" s="20"/>
      <c r="H253" s="79">
        <v>0.188</v>
      </c>
      <c r="M253" s="36"/>
      <c r="N253" s="5"/>
    </row>
    <row r="254" spans="1:64" x14ac:dyDescent="0.25">
      <c r="A254" s="5"/>
      <c r="C254" s="18" t="s">
        <v>370</v>
      </c>
      <c r="F254" s="20"/>
      <c r="H254" s="79">
        <v>1.034</v>
      </c>
      <c r="M254" s="36"/>
      <c r="N254" s="5"/>
    </row>
    <row r="255" spans="1:64" x14ac:dyDescent="0.25">
      <c r="A255" s="4" t="s">
        <v>132</v>
      </c>
      <c r="B255" s="14" t="s">
        <v>295</v>
      </c>
      <c r="C255" s="136" t="s">
        <v>547</v>
      </c>
      <c r="D255" s="137"/>
      <c r="E255" s="137"/>
      <c r="F255" s="137"/>
      <c r="G255" s="14" t="s">
        <v>595</v>
      </c>
      <c r="H255" s="78">
        <v>1.7729999999999999</v>
      </c>
      <c r="I255" s="24">
        <v>0</v>
      </c>
      <c r="J255" s="24">
        <f>H255*AO255</f>
        <v>0</v>
      </c>
      <c r="K255" s="24">
        <f>H255*AP255</f>
        <v>0</v>
      </c>
      <c r="L255" s="24">
        <f>H255*I255</f>
        <v>0</v>
      </c>
      <c r="M255" s="35" t="s">
        <v>616</v>
      </c>
      <c r="N255" s="5"/>
      <c r="Z255" s="42">
        <f>IF(AQ255="5",BJ255,0)</f>
        <v>0</v>
      </c>
      <c r="AB255" s="42">
        <f>IF(AQ255="1",BH255,0)</f>
        <v>0</v>
      </c>
      <c r="AC255" s="42">
        <f>IF(AQ255="1",BI255,0)</f>
        <v>0</v>
      </c>
      <c r="AD255" s="42">
        <f>IF(AQ255="7",BH255,0)</f>
        <v>0</v>
      </c>
      <c r="AE255" s="42">
        <f>IF(AQ255="7",BI255,0)</f>
        <v>0</v>
      </c>
      <c r="AF255" s="42">
        <f>IF(AQ255="2",BH255,0)</f>
        <v>0</v>
      </c>
      <c r="AG255" s="42">
        <f>IF(AQ255="2",BI255,0)</f>
        <v>0</v>
      </c>
      <c r="AH255" s="42">
        <f>IF(AQ255="0",BJ255,0)</f>
        <v>0</v>
      </c>
      <c r="AI255" s="41"/>
      <c r="AJ255" s="24">
        <f>IF(AN255=0,L255,0)</f>
        <v>0</v>
      </c>
      <c r="AK255" s="24">
        <f>IF(AN255=15,L255,0)</f>
        <v>0</v>
      </c>
      <c r="AL255" s="24">
        <f>IF(AN255=21,L255,0)</f>
        <v>0</v>
      </c>
      <c r="AN255" s="42">
        <v>15</v>
      </c>
      <c r="AO255" s="42">
        <f>I255*0.0780176210830243</f>
        <v>0</v>
      </c>
      <c r="AP255" s="42">
        <f>I255*(1-0.0780176210830243)</f>
        <v>0</v>
      </c>
      <c r="AQ255" s="43" t="s">
        <v>7</v>
      </c>
      <c r="AV255" s="42">
        <f>AW255+AX255</f>
        <v>0</v>
      </c>
      <c r="AW255" s="42">
        <f>H255*AO255</f>
        <v>0</v>
      </c>
      <c r="AX255" s="42">
        <f>H255*AP255</f>
        <v>0</v>
      </c>
      <c r="AY255" s="45" t="s">
        <v>651</v>
      </c>
      <c r="AZ255" s="45" t="s">
        <v>663</v>
      </c>
      <c r="BA255" s="41" t="s">
        <v>664</v>
      </c>
      <c r="BC255" s="42">
        <f>AW255+AX255</f>
        <v>0</v>
      </c>
      <c r="BD255" s="42">
        <f>I255/(100-BE255)*100</f>
        <v>0</v>
      </c>
      <c r="BE255" s="42">
        <v>0</v>
      </c>
      <c r="BF255" s="42">
        <f>253</f>
        <v>253</v>
      </c>
      <c r="BH255" s="24">
        <f>H255*AO255</f>
        <v>0</v>
      </c>
      <c r="BI255" s="24">
        <f>H255*AP255</f>
        <v>0</v>
      </c>
      <c r="BJ255" s="24">
        <f>H255*I255</f>
        <v>0</v>
      </c>
      <c r="BK255" s="24" t="s">
        <v>669</v>
      </c>
      <c r="BL255" s="42">
        <v>96</v>
      </c>
    </row>
    <row r="256" spans="1:64" x14ac:dyDescent="0.25">
      <c r="A256" s="5"/>
      <c r="C256" s="18" t="s">
        <v>548</v>
      </c>
      <c r="F256" s="20"/>
      <c r="H256" s="79">
        <v>1.7729999999999999</v>
      </c>
      <c r="M256" s="36"/>
      <c r="N256" s="5"/>
    </row>
    <row r="257" spans="1:64" x14ac:dyDescent="0.25">
      <c r="A257" s="4" t="s">
        <v>133</v>
      </c>
      <c r="B257" s="14" t="s">
        <v>296</v>
      </c>
      <c r="C257" s="136" t="s">
        <v>549</v>
      </c>
      <c r="D257" s="137"/>
      <c r="E257" s="137"/>
      <c r="F257" s="137"/>
      <c r="G257" s="14" t="s">
        <v>598</v>
      </c>
      <c r="H257" s="78">
        <v>4</v>
      </c>
      <c r="I257" s="24">
        <v>0</v>
      </c>
      <c r="J257" s="24">
        <f>H257*AO257</f>
        <v>0</v>
      </c>
      <c r="K257" s="24">
        <f>H257*AP257</f>
        <v>0</v>
      </c>
      <c r="L257" s="24">
        <f>H257*I257</f>
        <v>0</v>
      </c>
      <c r="M257" s="35" t="s">
        <v>616</v>
      </c>
      <c r="N257" s="5"/>
      <c r="Z257" s="42">
        <f>IF(AQ257="5",BJ257,0)</f>
        <v>0</v>
      </c>
      <c r="AB257" s="42">
        <f>IF(AQ257="1",BH257,0)</f>
        <v>0</v>
      </c>
      <c r="AC257" s="42">
        <f>IF(AQ257="1",BI257,0)</f>
        <v>0</v>
      </c>
      <c r="AD257" s="42">
        <f>IF(AQ257="7",BH257,0)</f>
        <v>0</v>
      </c>
      <c r="AE257" s="42">
        <f>IF(AQ257="7",BI257,0)</f>
        <v>0</v>
      </c>
      <c r="AF257" s="42">
        <f>IF(AQ257="2",BH257,0)</f>
        <v>0</v>
      </c>
      <c r="AG257" s="42">
        <f>IF(AQ257="2",BI257,0)</f>
        <v>0</v>
      </c>
      <c r="AH257" s="42">
        <f>IF(AQ257="0",BJ257,0)</f>
        <v>0</v>
      </c>
      <c r="AI257" s="41"/>
      <c r="AJ257" s="24">
        <f>IF(AN257=0,L257,0)</f>
        <v>0</v>
      </c>
      <c r="AK257" s="24">
        <f>IF(AN257=15,L257,0)</f>
        <v>0</v>
      </c>
      <c r="AL257" s="24">
        <f>IF(AN257=21,L257,0)</f>
        <v>0</v>
      </c>
      <c r="AN257" s="42">
        <v>15</v>
      </c>
      <c r="AO257" s="42">
        <f>I257*0</f>
        <v>0</v>
      </c>
      <c r="AP257" s="42">
        <f>I257*(1-0)</f>
        <v>0</v>
      </c>
      <c r="AQ257" s="43" t="s">
        <v>7</v>
      </c>
      <c r="AV257" s="42">
        <f>AW257+AX257</f>
        <v>0</v>
      </c>
      <c r="AW257" s="42">
        <f>H257*AO257</f>
        <v>0</v>
      </c>
      <c r="AX257" s="42">
        <f>H257*AP257</f>
        <v>0</v>
      </c>
      <c r="AY257" s="45" t="s">
        <v>651</v>
      </c>
      <c r="AZ257" s="45" t="s">
        <v>663</v>
      </c>
      <c r="BA257" s="41" t="s">
        <v>664</v>
      </c>
      <c r="BC257" s="42">
        <f>AW257+AX257</f>
        <v>0</v>
      </c>
      <c r="BD257" s="42">
        <f>I257/(100-BE257)*100</f>
        <v>0</v>
      </c>
      <c r="BE257" s="42">
        <v>0</v>
      </c>
      <c r="BF257" s="42">
        <f>255</f>
        <v>255</v>
      </c>
      <c r="BH257" s="24">
        <f>H257*AO257</f>
        <v>0</v>
      </c>
      <c r="BI257" s="24">
        <f>H257*AP257</f>
        <v>0</v>
      </c>
      <c r="BJ257" s="24">
        <f>H257*I257</f>
        <v>0</v>
      </c>
      <c r="BK257" s="24" t="s">
        <v>669</v>
      </c>
      <c r="BL257" s="42">
        <v>96</v>
      </c>
    </row>
    <row r="258" spans="1:64" x14ac:dyDescent="0.25">
      <c r="A258" s="4" t="s">
        <v>134</v>
      </c>
      <c r="B258" s="14" t="s">
        <v>297</v>
      </c>
      <c r="C258" s="136" t="s">
        <v>550</v>
      </c>
      <c r="D258" s="137"/>
      <c r="E258" s="137"/>
      <c r="F258" s="137"/>
      <c r="G258" s="14" t="s">
        <v>595</v>
      </c>
      <c r="H258" s="78">
        <v>9.1430000000000007</v>
      </c>
      <c r="I258" s="24">
        <v>0</v>
      </c>
      <c r="J258" s="24">
        <f>H258*AO258</f>
        <v>0</v>
      </c>
      <c r="K258" s="24">
        <f>H258*AP258</f>
        <v>0</v>
      </c>
      <c r="L258" s="24">
        <f>H258*I258</f>
        <v>0</v>
      </c>
      <c r="M258" s="35" t="s">
        <v>616</v>
      </c>
      <c r="N258" s="5"/>
      <c r="Z258" s="42">
        <f>IF(AQ258="5",BJ258,0)</f>
        <v>0</v>
      </c>
      <c r="AB258" s="42">
        <f>IF(AQ258="1",BH258,0)</f>
        <v>0</v>
      </c>
      <c r="AC258" s="42">
        <f>IF(AQ258="1",BI258,0)</f>
        <v>0</v>
      </c>
      <c r="AD258" s="42">
        <f>IF(AQ258="7",BH258,0)</f>
        <v>0</v>
      </c>
      <c r="AE258" s="42">
        <f>IF(AQ258="7",BI258,0)</f>
        <v>0</v>
      </c>
      <c r="AF258" s="42">
        <f>IF(AQ258="2",BH258,0)</f>
        <v>0</v>
      </c>
      <c r="AG258" s="42">
        <f>IF(AQ258="2",BI258,0)</f>
        <v>0</v>
      </c>
      <c r="AH258" s="42">
        <f>IF(AQ258="0",BJ258,0)</f>
        <v>0</v>
      </c>
      <c r="AI258" s="41"/>
      <c r="AJ258" s="24">
        <f>IF(AN258=0,L258,0)</f>
        <v>0</v>
      </c>
      <c r="AK258" s="24">
        <f>IF(AN258=15,L258,0)</f>
        <v>0</v>
      </c>
      <c r="AL258" s="24">
        <f>IF(AN258=21,L258,0)</f>
        <v>0</v>
      </c>
      <c r="AN258" s="42">
        <v>15</v>
      </c>
      <c r="AO258" s="42">
        <f>I258*0.123218994730198</f>
        <v>0</v>
      </c>
      <c r="AP258" s="42">
        <f>I258*(1-0.123218994730198)</f>
        <v>0</v>
      </c>
      <c r="AQ258" s="43" t="s">
        <v>7</v>
      </c>
      <c r="AV258" s="42">
        <f>AW258+AX258</f>
        <v>0</v>
      </c>
      <c r="AW258" s="42">
        <f>H258*AO258</f>
        <v>0</v>
      </c>
      <c r="AX258" s="42">
        <f>H258*AP258</f>
        <v>0</v>
      </c>
      <c r="AY258" s="45" t="s">
        <v>651</v>
      </c>
      <c r="AZ258" s="45" t="s">
        <v>663</v>
      </c>
      <c r="BA258" s="41" t="s">
        <v>664</v>
      </c>
      <c r="BC258" s="42">
        <f>AW258+AX258</f>
        <v>0</v>
      </c>
      <c r="BD258" s="42">
        <f>I258/(100-BE258)*100</f>
        <v>0</v>
      </c>
      <c r="BE258" s="42">
        <v>0</v>
      </c>
      <c r="BF258" s="42">
        <f>256</f>
        <v>256</v>
      </c>
      <c r="BH258" s="24">
        <f>H258*AO258</f>
        <v>0</v>
      </c>
      <c r="BI258" s="24">
        <f>H258*AP258</f>
        <v>0</v>
      </c>
      <c r="BJ258" s="24">
        <f>H258*I258</f>
        <v>0</v>
      </c>
      <c r="BK258" s="24" t="s">
        <v>669</v>
      </c>
      <c r="BL258" s="42">
        <v>96</v>
      </c>
    </row>
    <row r="259" spans="1:64" x14ac:dyDescent="0.25">
      <c r="A259" s="5"/>
      <c r="C259" s="18" t="s">
        <v>551</v>
      </c>
      <c r="F259" s="20"/>
      <c r="H259" s="79">
        <v>9.1430000000000007</v>
      </c>
      <c r="M259" s="36"/>
      <c r="N259" s="5"/>
    </row>
    <row r="260" spans="1:64" x14ac:dyDescent="0.25">
      <c r="A260" s="4" t="s">
        <v>135</v>
      </c>
      <c r="B260" s="14" t="s">
        <v>298</v>
      </c>
      <c r="C260" s="136" t="s">
        <v>552</v>
      </c>
      <c r="D260" s="137"/>
      <c r="E260" s="137"/>
      <c r="F260" s="137"/>
      <c r="G260" s="14" t="s">
        <v>595</v>
      </c>
      <c r="H260" s="78">
        <v>2.3109999999999999</v>
      </c>
      <c r="I260" s="24">
        <v>0</v>
      </c>
      <c r="J260" s="24">
        <f>H260*AO260</f>
        <v>0</v>
      </c>
      <c r="K260" s="24">
        <f>H260*AP260</f>
        <v>0</v>
      </c>
      <c r="L260" s="24">
        <f>H260*I260</f>
        <v>0</v>
      </c>
      <c r="M260" s="35" t="s">
        <v>616</v>
      </c>
      <c r="N260" s="5"/>
      <c r="Z260" s="42">
        <f>IF(AQ260="5",BJ260,0)</f>
        <v>0</v>
      </c>
      <c r="AB260" s="42">
        <f>IF(AQ260="1",BH260,0)</f>
        <v>0</v>
      </c>
      <c r="AC260" s="42">
        <f>IF(AQ260="1",BI260,0)</f>
        <v>0</v>
      </c>
      <c r="AD260" s="42">
        <f>IF(AQ260="7",BH260,0)</f>
        <v>0</v>
      </c>
      <c r="AE260" s="42">
        <f>IF(AQ260="7",BI260,0)</f>
        <v>0</v>
      </c>
      <c r="AF260" s="42">
        <f>IF(AQ260="2",BH260,0)</f>
        <v>0</v>
      </c>
      <c r="AG260" s="42">
        <f>IF(AQ260="2",BI260,0)</f>
        <v>0</v>
      </c>
      <c r="AH260" s="42">
        <f>IF(AQ260="0",BJ260,0)</f>
        <v>0</v>
      </c>
      <c r="AI260" s="41"/>
      <c r="AJ260" s="24">
        <f>IF(AN260=0,L260,0)</f>
        <v>0</v>
      </c>
      <c r="AK260" s="24">
        <f>IF(AN260=15,L260,0)</f>
        <v>0</v>
      </c>
      <c r="AL260" s="24">
        <f>IF(AN260=21,L260,0)</f>
        <v>0</v>
      </c>
      <c r="AN260" s="42">
        <v>15</v>
      </c>
      <c r="AO260" s="42">
        <f>I260*0.145757266504126</f>
        <v>0</v>
      </c>
      <c r="AP260" s="42">
        <f>I260*(1-0.145757266504126)</f>
        <v>0</v>
      </c>
      <c r="AQ260" s="43" t="s">
        <v>7</v>
      </c>
      <c r="AV260" s="42">
        <f>AW260+AX260</f>
        <v>0</v>
      </c>
      <c r="AW260" s="42">
        <f>H260*AO260</f>
        <v>0</v>
      </c>
      <c r="AX260" s="42">
        <f>H260*AP260</f>
        <v>0</v>
      </c>
      <c r="AY260" s="45" t="s">
        <v>651</v>
      </c>
      <c r="AZ260" s="45" t="s">
        <v>663</v>
      </c>
      <c r="BA260" s="41" t="s">
        <v>664</v>
      </c>
      <c r="BC260" s="42">
        <f>AW260+AX260</f>
        <v>0</v>
      </c>
      <c r="BD260" s="42">
        <f>I260/(100-BE260)*100</f>
        <v>0</v>
      </c>
      <c r="BE260" s="42">
        <v>0</v>
      </c>
      <c r="BF260" s="42">
        <f>258</f>
        <v>258</v>
      </c>
      <c r="BH260" s="24">
        <f>H260*AO260</f>
        <v>0</v>
      </c>
      <c r="BI260" s="24">
        <f>H260*AP260</f>
        <v>0</v>
      </c>
      <c r="BJ260" s="24">
        <f>H260*I260</f>
        <v>0</v>
      </c>
      <c r="BK260" s="24" t="s">
        <v>669</v>
      </c>
      <c r="BL260" s="42">
        <v>96</v>
      </c>
    </row>
    <row r="261" spans="1:64" x14ac:dyDescent="0.25">
      <c r="A261" s="5"/>
      <c r="C261" s="18" t="s">
        <v>553</v>
      </c>
      <c r="F261" s="20"/>
      <c r="H261" s="79">
        <v>2.3109999999999999</v>
      </c>
      <c r="M261" s="36"/>
      <c r="N261" s="5"/>
    </row>
    <row r="262" spans="1:64" x14ac:dyDescent="0.25">
      <c r="A262" s="4" t="s">
        <v>136</v>
      </c>
      <c r="B262" s="14" t="s">
        <v>299</v>
      </c>
      <c r="C262" s="136" t="s">
        <v>554</v>
      </c>
      <c r="D262" s="137"/>
      <c r="E262" s="137"/>
      <c r="F262" s="137"/>
      <c r="G262" s="14" t="s">
        <v>595</v>
      </c>
      <c r="H262" s="78">
        <v>0.4</v>
      </c>
      <c r="I262" s="24">
        <v>0</v>
      </c>
      <c r="J262" s="24">
        <f>H262*AO262</f>
        <v>0</v>
      </c>
      <c r="K262" s="24">
        <f>H262*AP262</f>
        <v>0</v>
      </c>
      <c r="L262" s="24">
        <f>H262*I262</f>
        <v>0</v>
      </c>
      <c r="M262" s="35" t="s">
        <v>616</v>
      </c>
      <c r="N262" s="5"/>
      <c r="Z262" s="42">
        <f>IF(AQ262="5",BJ262,0)</f>
        <v>0</v>
      </c>
      <c r="AB262" s="42">
        <f>IF(AQ262="1",BH262,0)</f>
        <v>0</v>
      </c>
      <c r="AC262" s="42">
        <f>IF(AQ262="1",BI262,0)</f>
        <v>0</v>
      </c>
      <c r="AD262" s="42">
        <f>IF(AQ262="7",BH262,0)</f>
        <v>0</v>
      </c>
      <c r="AE262" s="42">
        <f>IF(AQ262="7",BI262,0)</f>
        <v>0</v>
      </c>
      <c r="AF262" s="42">
        <f>IF(AQ262="2",BH262,0)</f>
        <v>0</v>
      </c>
      <c r="AG262" s="42">
        <f>IF(AQ262="2",BI262,0)</f>
        <v>0</v>
      </c>
      <c r="AH262" s="42">
        <f>IF(AQ262="0",BJ262,0)</f>
        <v>0</v>
      </c>
      <c r="AI262" s="41"/>
      <c r="AJ262" s="24">
        <f>IF(AN262=0,L262,0)</f>
        <v>0</v>
      </c>
      <c r="AK262" s="24">
        <f>IF(AN262=15,L262,0)</f>
        <v>0</v>
      </c>
      <c r="AL262" s="24">
        <f>IF(AN262=21,L262,0)</f>
        <v>0</v>
      </c>
      <c r="AN262" s="42">
        <v>15</v>
      </c>
      <c r="AO262" s="42">
        <f>I262*0</f>
        <v>0</v>
      </c>
      <c r="AP262" s="42">
        <f>I262*(1-0)</f>
        <v>0</v>
      </c>
      <c r="AQ262" s="43" t="s">
        <v>7</v>
      </c>
      <c r="AV262" s="42">
        <f>AW262+AX262</f>
        <v>0</v>
      </c>
      <c r="AW262" s="42">
        <f>H262*AO262</f>
        <v>0</v>
      </c>
      <c r="AX262" s="42">
        <f>H262*AP262</f>
        <v>0</v>
      </c>
      <c r="AY262" s="45" t="s">
        <v>651</v>
      </c>
      <c r="AZ262" s="45" t="s">
        <v>663</v>
      </c>
      <c r="BA262" s="41" t="s">
        <v>664</v>
      </c>
      <c r="BC262" s="42">
        <f>AW262+AX262</f>
        <v>0</v>
      </c>
      <c r="BD262" s="42">
        <f>I262/(100-BE262)*100</f>
        <v>0</v>
      </c>
      <c r="BE262" s="42">
        <v>0</v>
      </c>
      <c r="BF262" s="42">
        <f>260</f>
        <v>260</v>
      </c>
      <c r="BH262" s="24">
        <f>H262*AO262</f>
        <v>0</v>
      </c>
      <c r="BI262" s="24">
        <f>H262*AP262</f>
        <v>0</v>
      </c>
      <c r="BJ262" s="24">
        <f>H262*I262</f>
        <v>0</v>
      </c>
      <c r="BK262" s="24" t="s">
        <v>669</v>
      </c>
      <c r="BL262" s="42">
        <v>96</v>
      </c>
    </row>
    <row r="263" spans="1:64" x14ac:dyDescent="0.25">
      <c r="A263" s="5"/>
      <c r="C263" s="18" t="s">
        <v>555</v>
      </c>
      <c r="F263" s="20"/>
      <c r="H263" s="79">
        <v>0.4</v>
      </c>
      <c r="M263" s="36"/>
      <c r="N263" s="5"/>
    </row>
    <row r="264" spans="1:64" x14ac:dyDescent="0.25">
      <c r="A264" s="4" t="s">
        <v>137</v>
      </c>
      <c r="B264" s="14" t="s">
        <v>300</v>
      </c>
      <c r="C264" s="136" t="s">
        <v>556</v>
      </c>
      <c r="D264" s="137"/>
      <c r="E264" s="137"/>
      <c r="F264" s="137"/>
      <c r="G264" s="14" t="s">
        <v>597</v>
      </c>
      <c r="H264" s="78">
        <v>1.7</v>
      </c>
      <c r="I264" s="24">
        <v>0</v>
      </c>
      <c r="J264" s="24">
        <f>H264*AO264</f>
        <v>0</v>
      </c>
      <c r="K264" s="24">
        <f>H264*AP264</f>
        <v>0</v>
      </c>
      <c r="L264" s="24">
        <f>H264*I264</f>
        <v>0</v>
      </c>
      <c r="M264" s="35" t="s">
        <v>616</v>
      </c>
      <c r="N264" s="5"/>
      <c r="Z264" s="42">
        <f>IF(AQ264="5",BJ264,0)</f>
        <v>0</v>
      </c>
      <c r="AB264" s="42">
        <f>IF(AQ264="1",BH264,0)</f>
        <v>0</v>
      </c>
      <c r="AC264" s="42">
        <f>IF(AQ264="1",BI264,0)</f>
        <v>0</v>
      </c>
      <c r="AD264" s="42">
        <f>IF(AQ264="7",BH264,0)</f>
        <v>0</v>
      </c>
      <c r="AE264" s="42">
        <f>IF(AQ264="7",BI264,0)</f>
        <v>0</v>
      </c>
      <c r="AF264" s="42">
        <f>IF(AQ264="2",BH264,0)</f>
        <v>0</v>
      </c>
      <c r="AG264" s="42">
        <f>IF(AQ264="2",BI264,0)</f>
        <v>0</v>
      </c>
      <c r="AH264" s="42">
        <f>IF(AQ264="0",BJ264,0)</f>
        <v>0</v>
      </c>
      <c r="AI264" s="41"/>
      <c r="AJ264" s="24">
        <f>IF(AN264=0,L264,0)</f>
        <v>0</v>
      </c>
      <c r="AK264" s="24">
        <f>IF(AN264=15,L264,0)</f>
        <v>0</v>
      </c>
      <c r="AL264" s="24">
        <f>IF(AN264=21,L264,0)</f>
        <v>0</v>
      </c>
      <c r="AN264" s="42">
        <v>15</v>
      </c>
      <c r="AO264" s="42">
        <f>I264*0</f>
        <v>0</v>
      </c>
      <c r="AP264" s="42">
        <f>I264*(1-0)</f>
        <v>0</v>
      </c>
      <c r="AQ264" s="43" t="s">
        <v>7</v>
      </c>
      <c r="AV264" s="42">
        <f>AW264+AX264</f>
        <v>0</v>
      </c>
      <c r="AW264" s="42">
        <f>H264*AO264</f>
        <v>0</v>
      </c>
      <c r="AX264" s="42">
        <f>H264*AP264</f>
        <v>0</v>
      </c>
      <c r="AY264" s="45" t="s">
        <v>651</v>
      </c>
      <c r="AZ264" s="45" t="s">
        <v>663</v>
      </c>
      <c r="BA264" s="41" t="s">
        <v>664</v>
      </c>
      <c r="BC264" s="42">
        <f>AW264+AX264</f>
        <v>0</v>
      </c>
      <c r="BD264" s="42">
        <f>I264/(100-BE264)*100</f>
        <v>0</v>
      </c>
      <c r="BE264" s="42">
        <v>0</v>
      </c>
      <c r="BF264" s="42">
        <f>262</f>
        <v>262</v>
      </c>
      <c r="BH264" s="24">
        <f>H264*AO264</f>
        <v>0</v>
      </c>
      <c r="BI264" s="24">
        <f>H264*AP264</f>
        <v>0</v>
      </c>
      <c r="BJ264" s="24">
        <f>H264*I264</f>
        <v>0</v>
      </c>
      <c r="BK264" s="24" t="s">
        <v>669</v>
      </c>
      <c r="BL264" s="42">
        <v>96</v>
      </c>
    </row>
    <row r="265" spans="1:64" x14ac:dyDescent="0.25">
      <c r="A265" s="5"/>
      <c r="C265" s="18" t="s">
        <v>557</v>
      </c>
      <c r="F265" s="20"/>
      <c r="H265" s="79">
        <v>1.7</v>
      </c>
      <c r="M265" s="36"/>
      <c r="N265" s="5"/>
    </row>
    <row r="266" spans="1:64" x14ac:dyDescent="0.25">
      <c r="A266" s="4" t="s">
        <v>138</v>
      </c>
      <c r="B266" s="14" t="s">
        <v>301</v>
      </c>
      <c r="C266" s="136" t="s">
        <v>558</v>
      </c>
      <c r="D266" s="137"/>
      <c r="E266" s="137"/>
      <c r="F266" s="137"/>
      <c r="G266" s="14" t="s">
        <v>595</v>
      </c>
      <c r="H266" s="78">
        <v>3</v>
      </c>
      <c r="I266" s="24">
        <v>0</v>
      </c>
      <c r="J266" s="24">
        <f>H266*AO266</f>
        <v>0</v>
      </c>
      <c r="K266" s="24">
        <f>H266*AP266</f>
        <v>0</v>
      </c>
      <c r="L266" s="24">
        <f>H266*I266</f>
        <v>0</v>
      </c>
      <c r="M266" s="35" t="s">
        <v>616</v>
      </c>
      <c r="N266" s="5"/>
      <c r="Z266" s="42">
        <f>IF(AQ266="5",BJ266,0)</f>
        <v>0</v>
      </c>
      <c r="AB266" s="42">
        <f>IF(AQ266="1",BH266,0)</f>
        <v>0</v>
      </c>
      <c r="AC266" s="42">
        <f>IF(AQ266="1",BI266,0)</f>
        <v>0</v>
      </c>
      <c r="AD266" s="42">
        <f>IF(AQ266="7",BH266,0)</f>
        <v>0</v>
      </c>
      <c r="AE266" s="42">
        <f>IF(AQ266="7",BI266,0)</f>
        <v>0</v>
      </c>
      <c r="AF266" s="42">
        <f>IF(AQ266="2",BH266,0)</f>
        <v>0</v>
      </c>
      <c r="AG266" s="42">
        <f>IF(AQ266="2",BI266,0)</f>
        <v>0</v>
      </c>
      <c r="AH266" s="42">
        <f>IF(AQ266="0",BJ266,0)</f>
        <v>0</v>
      </c>
      <c r="AI266" s="41"/>
      <c r="AJ266" s="24">
        <f>IF(AN266=0,L266,0)</f>
        <v>0</v>
      </c>
      <c r="AK266" s="24">
        <f>IF(AN266=15,L266,0)</f>
        <v>0</v>
      </c>
      <c r="AL266" s="24">
        <f>IF(AN266=21,L266,0)</f>
        <v>0</v>
      </c>
      <c r="AN266" s="42">
        <v>15</v>
      </c>
      <c r="AO266" s="42">
        <f>I266*0.0787376316629429</f>
        <v>0</v>
      </c>
      <c r="AP266" s="42">
        <f>I266*(1-0.0787376316629429)</f>
        <v>0</v>
      </c>
      <c r="AQ266" s="43" t="s">
        <v>7</v>
      </c>
      <c r="AV266" s="42">
        <f>AW266+AX266</f>
        <v>0</v>
      </c>
      <c r="AW266" s="42">
        <f>H266*AO266</f>
        <v>0</v>
      </c>
      <c r="AX266" s="42">
        <f>H266*AP266</f>
        <v>0</v>
      </c>
      <c r="AY266" s="45" t="s">
        <v>651</v>
      </c>
      <c r="AZ266" s="45" t="s">
        <v>663</v>
      </c>
      <c r="BA266" s="41" t="s">
        <v>664</v>
      </c>
      <c r="BC266" s="42">
        <f>AW266+AX266</f>
        <v>0</v>
      </c>
      <c r="BD266" s="42">
        <f>I266/(100-BE266)*100</f>
        <v>0</v>
      </c>
      <c r="BE266" s="42">
        <v>0</v>
      </c>
      <c r="BF266" s="42">
        <f>264</f>
        <v>264</v>
      </c>
      <c r="BH266" s="24">
        <f>H266*AO266</f>
        <v>0</v>
      </c>
      <c r="BI266" s="24">
        <f>H266*AP266</f>
        <v>0</v>
      </c>
      <c r="BJ266" s="24">
        <f>H266*I266</f>
        <v>0</v>
      </c>
      <c r="BK266" s="24" t="s">
        <v>669</v>
      </c>
      <c r="BL266" s="42">
        <v>96</v>
      </c>
    </row>
    <row r="267" spans="1:64" x14ac:dyDescent="0.25">
      <c r="A267" s="5"/>
      <c r="C267" s="18" t="s">
        <v>559</v>
      </c>
      <c r="F267" s="20"/>
      <c r="H267" s="79">
        <v>3</v>
      </c>
      <c r="M267" s="36"/>
      <c r="N267" s="5"/>
    </row>
    <row r="268" spans="1:64" x14ac:dyDescent="0.25">
      <c r="A268" s="4" t="s">
        <v>139</v>
      </c>
      <c r="B268" s="14" t="s">
        <v>302</v>
      </c>
      <c r="C268" s="136" t="s">
        <v>560</v>
      </c>
      <c r="D268" s="137"/>
      <c r="E268" s="137"/>
      <c r="F268" s="137"/>
      <c r="G268" s="14" t="s">
        <v>595</v>
      </c>
      <c r="H268" s="78">
        <v>17.585999999999999</v>
      </c>
      <c r="I268" s="24">
        <v>0</v>
      </c>
      <c r="J268" s="24">
        <f>H268*AO268</f>
        <v>0</v>
      </c>
      <c r="K268" s="24">
        <f>H268*AP268</f>
        <v>0</v>
      </c>
      <c r="L268" s="24">
        <f>H268*I268</f>
        <v>0</v>
      </c>
      <c r="M268" s="35" t="s">
        <v>616</v>
      </c>
      <c r="N268" s="5"/>
      <c r="Z268" s="42">
        <f>IF(AQ268="5",BJ268,0)</f>
        <v>0</v>
      </c>
      <c r="AB268" s="42">
        <f>IF(AQ268="1",BH268,0)</f>
        <v>0</v>
      </c>
      <c r="AC268" s="42">
        <f>IF(AQ268="1",BI268,0)</f>
        <v>0</v>
      </c>
      <c r="AD268" s="42">
        <f>IF(AQ268="7",BH268,0)</f>
        <v>0</v>
      </c>
      <c r="AE268" s="42">
        <f>IF(AQ268="7",BI268,0)</f>
        <v>0</v>
      </c>
      <c r="AF268" s="42">
        <f>IF(AQ268="2",BH268,0)</f>
        <v>0</v>
      </c>
      <c r="AG268" s="42">
        <f>IF(AQ268="2",BI268,0)</f>
        <v>0</v>
      </c>
      <c r="AH268" s="42">
        <f>IF(AQ268="0",BJ268,0)</f>
        <v>0</v>
      </c>
      <c r="AI268" s="41"/>
      <c r="AJ268" s="24">
        <f>IF(AN268=0,L268,0)</f>
        <v>0</v>
      </c>
      <c r="AK268" s="24">
        <f>IF(AN268=15,L268,0)</f>
        <v>0</v>
      </c>
      <c r="AL268" s="24">
        <f>IF(AN268=21,L268,0)</f>
        <v>0</v>
      </c>
      <c r="AN268" s="42">
        <v>15</v>
      </c>
      <c r="AO268" s="42">
        <f>I268*0</f>
        <v>0</v>
      </c>
      <c r="AP268" s="42">
        <f>I268*(1-0)</f>
        <v>0</v>
      </c>
      <c r="AQ268" s="43" t="s">
        <v>7</v>
      </c>
      <c r="AV268" s="42">
        <f>AW268+AX268</f>
        <v>0</v>
      </c>
      <c r="AW268" s="42">
        <f>H268*AO268</f>
        <v>0</v>
      </c>
      <c r="AX268" s="42">
        <f>H268*AP268</f>
        <v>0</v>
      </c>
      <c r="AY268" s="45" t="s">
        <v>651</v>
      </c>
      <c r="AZ268" s="45" t="s">
        <v>663</v>
      </c>
      <c r="BA268" s="41" t="s">
        <v>664</v>
      </c>
      <c r="BC268" s="42">
        <f>AW268+AX268</f>
        <v>0</v>
      </c>
      <c r="BD268" s="42">
        <f>I268/(100-BE268)*100</f>
        <v>0</v>
      </c>
      <c r="BE268" s="42">
        <v>0</v>
      </c>
      <c r="BF268" s="42">
        <f>266</f>
        <v>266</v>
      </c>
      <c r="BH268" s="24">
        <f>H268*AO268</f>
        <v>0</v>
      </c>
      <c r="BI268" s="24">
        <f>H268*AP268</f>
        <v>0</v>
      </c>
      <c r="BJ268" s="24">
        <f>H268*I268</f>
        <v>0</v>
      </c>
      <c r="BK268" s="24" t="s">
        <v>669</v>
      </c>
      <c r="BL268" s="42">
        <v>96</v>
      </c>
    </row>
    <row r="269" spans="1:64" x14ac:dyDescent="0.25">
      <c r="A269" s="5"/>
      <c r="C269" s="18" t="s">
        <v>348</v>
      </c>
      <c r="F269" s="20"/>
      <c r="H269" s="79">
        <v>13.92</v>
      </c>
      <c r="M269" s="36"/>
      <c r="N269" s="5"/>
    </row>
    <row r="270" spans="1:64" x14ac:dyDescent="0.25">
      <c r="A270" s="5"/>
      <c r="C270" s="18" t="s">
        <v>561</v>
      </c>
      <c r="F270" s="20"/>
      <c r="H270" s="79">
        <v>3.6659999999999999</v>
      </c>
      <c r="M270" s="36"/>
      <c r="N270" s="5"/>
    </row>
    <row r="271" spans="1:64" x14ac:dyDescent="0.25">
      <c r="A271" s="4" t="s">
        <v>140</v>
      </c>
      <c r="B271" s="14" t="s">
        <v>303</v>
      </c>
      <c r="C271" s="136" t="s">
        <v>562</v>
      </c>
      <c r="D271" s="137"/>
      <c r="E271" s="137"/>
      <c r="F271" s="137"/>
      <c r="G271" s="14" t="s">
        <v>595</v>
      </c>
      <c r="H271" s="78">
        <v>17.585999999999999</v>
      </c>
      <c r="I271" s="24">
        <v>0</v>
      </c>
      <c r="J271" s="24">
        <f>H271*AO271</f>
        <v>0</v>
      </c>
      <c r="K271" s="24">
        <f>H271*AP271</f>
        <v>0</v>
      </c>
      <c r="L271" s="24">
        <f>H271*I271</f>
        <v>0</v>
      </c>
      <c r="M271" s="35" t="s">
        <v>616</v>
      </c>
      <c r="N271" s="5"/>
      <c r="Z271" s="42">
        <f>IF(AQ271="5",BJ271,0)</f>
        <v>0</v>
      </c>
      <c r="AB271" s="42">
        <f>IF(AQ271="1",BH271,0)</f>
        <v>0</v>
      </c>
      <c r="AC271" s="42">
        <f>IF(AQ271="1",BI271,0)</f>
        <v>0</v>
      </c>
      <c r="AD271" s="42">
        <f>IF(AQ271="7",BH271,0)</f>
        <v>0</v>
      </c>
      <c r="AE271" s="42">
        <f>IF(AQ271="7",BI271,0)</f>
        <v>0</v>
      </c>
      <c r="AF271" s="42">
        <f>IF(AQ271="2",BH271,0)</f>
        <v>0</v>
      </c>
      <c r="AG271" s="42">
        <f>IF(AQ271="2",BI271,0)</f>
        <v>0</v>
      </c>
      <c r="AH271" s="42">
        <f>IF(AQ271="0",BJ271,0)</f>
        <v>0</v>
      </c>
      <c r="AI271" s="41"/>
      <c r="AJ271" s="24">
        <f>IF(AN271=0,L271,0)</f>
        <v>0</v>
      </c>
      <c r="AK271" s="24">
        <f>IF(AN271=15,L271,0)</f>
        <v>0</v>
      </c>
      <c r="AL271" s="24">
        <f>IF(AN271=21,L271,0)</f>
        <v>0</v>
      </c>
      <c r="AN271" s="42">
        <v>15</v>
      </c>
      <c r="AO271" s="42">
        <f>I271*0</f>
        <v>0</v>
      </c>
      <c r="AP271" s="42">
        <f>I271*(1-0)</f>
        <v>0</v>
      </c>
      <c r="AQ271" s="43" t="s">
        <v>7</v>
      </c>
      <c r="AV271" s="42">
        <f>AW271+AX271</f>
        <v>0</v>
      </c>
      <c r="AW271" s="42">
        <f>H271*AO271</f>
        <v>0</v>
      </c>
      <c r="AX271" s="42">
        <f>H271*AP271</f>
        <v>0</v>
      </c>
      <c r="AY271" s="45" t="s">
        <v>651</v>
      </c>
      <c r="AZ271" s="45" t="s">
        <v>663</v>
      </c>
      <c r="BA271" s="41" t="s">
        <v>664</v>
      </c>
      <c r="BC271" s="42">
        <f>AW271+AX271</f>
        <v>0</v>
      </c>
      <c r="BD271" s="42">
        <f>I271/(100-BE271)*100</f>
        <v>0</v>
      </c>
      <c r="BE271" s="42">
        <v>0</v>
      </c>
      <c r="BF271" s="42">
        <f>269</f>
        <v>269</v>
      </c>
      <c r="BH271" s="24">
        <f>H271*AO271</f>
        <v>0</v>
      </c>
      <c r="BI271" s="24">
        <f>H271*AP271</f>
        <v>0</v>
      </c>
      <c r="BJ271" s="24">
        <f>H271*I271</f>
        <v>0</v>
      </c>
      <c r="BK271" s="24" t="s">
        <v>669</v>
      </c>
      <c r="BL271" s="42">
        <v>96</v>
      </c>
    </row>
    <row r="272" spans="1:64" x14ac:dyDescent="0.25">
      <c r="A272" s="5"/>
      <c r="C272" s="18" t="s">
        <v>563</v>
      </c>
      <c r="F272" s="20"/>
      <c r="H272" s="79">
        <v>13.92</v>
      </c>
      <c r="M272" s="36"/>
      <c r="N272" s="5"/>
    </row>
    <row r="273" spans="1:64" x14ac:dyDescent="0.25">
      <c r="A273" s="5"/>
      <c r="C273" s="18" t="s">
        <v>561</v>
      </c>
      <c r="F273" s="20"/>
      <c r="H273" s="79">
        <v>3.6659999999999999</v>
      </c>
      <c r="M273" s="36"/>
      <c r="N273" s="5"/>
    </row>
    <row r="274" spans="1:64" x14ac:dyDescent="0.25">
      <c r="A274" s="4" t="s">
        <v>141</v>
      </c>
      <c r="B274" s="14" t="s">
        <v>304</v>
      </c>
      <c r="C274" s="136" t="s">
        <v>564</v>
      </c>
      <c r="D274" s="137"/>
      <c r="E274" s="137"/>
      <c r="F274" s="137"/>
      <c r="G274" s="14" t="s">
        <v>598</v>
      </c>
      <c r="H274" s="78">
        <v>2</v>
      </c>
      <c r="I274" s="24">
        <v>0</v>
      </c>
      <c r="J274" s="24">
        <f>H274*AO274</f>
        <v>0</v>
      </c>
      <c r="K274" s="24">
        <f>H274*AP274</f>
        <v>0</v>
      </c>
      <c r="L274" s="24">
        <f>H274*I274</f>
        <v>0</v>
      </c>
      <c r="M274" s="35" t="s">
        <v>616</v>
      </c>
      <c r="N274" s="5"/>
      <c r="Z274" s="42">
        <f>IF(AQ274="5",BJ274,0)</f>
        <v>0</v>
      </c>
      <c r="AB274" s="42">
        <f>IF(AQ274="1",BH274,0)</f>
        <v>0</v>
      </c>
      <c r="AC274" s="42">
        <f>IF(AQ274="1",BI274,0)</f>
        <v>0</v>
      </c>
      <c r="AD274" s="42">
        <f>IF(AQ274="7",BH274,0)</f>
        <v>0</v>
      </c>
      <c r="AE274" s="42">
        <f>IF(AQ274="7",BI274,0)</f>
        <v>0</v>
      </c>
      <c r="AF274" s="42">
        <f>IF(AQ274="2",BH274,0)</f>
        <v>0</v>
      </c>
      <c r="AG274" s="42">
        <f>IF(AQ274="2",BI274,0)</f>
        <v>0</v>
      </c>
      <c r="AH274" s="42">
        <f>IF(AQ274="0",BJ274,0)</f>
        <v>0</v>
      </c>
      <c r="AI274" s="41"/>
      <c r="AJ274" s="24">
        <f>IF(AN274=0,L274,0)</f>
        <v>0</v>
      </c>
      <c r="AK274" s="24">
        <f>IF(AN274=15,L274,0)</f>
        <v>0</v>
      </c>
      <c r="AL274" s="24">
        <f>IF(AN274=21,L274,0)</f>
        <v>0</v>
      </c>
      <c r="AN274" s="42">
        <v>15</v>
      </c>
      <c r="AO274" s="42">
        <f>I274*0</f>
        <v>0</v>
      </c>
      <c r="AP274" s="42">
        <f>I274*(1-0)</f>
        <v>0</v>
      </c>
      <c r="AQ274" s="43" t="s">
        <v>7</v>
      </c>
      <c r="AV274" s="42">
        <f>AW274+AX274</f>
        <v>0</v>
      </c>
      <c r="AW274" s="42">
        <f>H274*AO274</f>
        <v>0</v>
      </c>
      <c r="AX274" s="42">
        <f>H274*AP274</f>
        <v>0</v>
      </c>
      <c r="AY274" s="45" t="s">
        <v>651</v>
      </c>
      <c r="AZ274" s="45" t="s">
        <v>663</v>
      </c>
      <c r="BA274" s="41" t="s">
        <v>664</v>
      </c>
      <c r="BC274" s="42">
        <f>AW274+AX274</f>
        <v>0</v>
      </c>
      <c r="BD274" s="42">
        <f>I274/(100-BE274)*100</f>
        <v>0</v>
      </c>
      <c r="BE274" s="42">
        <v>0</v>
      </c>
      <c r="BF274" s="42">
        <f>272</f>
        <v>272</v>
      </c>
      <c r="BH274" s="24">
        <f>H274*AO274</f>
        <v>0</v>
      </c>
      <c r="BI274" s="24">
        <f>H274*AP274</f>
        <v>0</v>
      </c>
      <c r="BJ274" s="24">
        <f>H274*I274</f>
        <v>0</v>
      </c>
      <c r="BK274" s="24" t="s">
        <v>669</v>
      </c>
      <c r="BL274" s="42">
        <v>96</v>
      </c>
    </row>
    <row r="275" spans="1:64" x14ac:dyDescent="0.25">
      <c r="A275" s="5"/>
      <c r="C275" s="18" t="s">
        <v>565</v>
      </c>
      <c r="F275" s="20"/>
      <c r="H275" s="79">
        <v>2</v>
      </c>
      <c r="M275" s="36"/>
      <c r="N275" s="5"/>
    </row>
    <row r="276" spans="1:64" x14ac:dyDescent="0.25">
      <c r="A276" s="4" t="s">
        <v>142</v>
      </c>
      <c r="B276" s="14" t="s">
        <v>305</v>
      </c>
      <c r="C276" s="136" t="s">
        <v>566</v>
      </c>
      <c r="D276" s="137"/>
      <c r="E276" s="137"/>
      <c r="F276" s="137"/>
      <c r="G276" s="14" t="s">
        <v>594</v>
      </c>
      <c r="H276" s="78">
        <v>7.0110000000000001</v>
      </c>
      <c r="I276" s="24">
        <v>0</v>
      </c>
      <c r="J276" s="24">
        <f>H276*AO276</f>
        <v>0</v>
      </c>
      <c r="K276" s="24">
        <f>H276*AP276</f>
        <v>0</v>
      </c>
      <c r="L276" s="24">
        <f>H276*I276</f>
        <v>0</v>
      </c>
      <c r="M276" s="35" t="s">
        <v>616</v>
      </c>
      <c r="N276" s="5"/>
      <c r="Z276" s="42">
        <f>IF(AQ276="5",BJ276,0)</f>
        <v>0</v>
      </c>
      <c r="AB276" s="42">
        <f>IF(AQ276="1",BH276,0)</f>
        <v>0</v>
      </c>
      <c r="AC276" s="42">
        <f>IF(AQ276="1",BI276,0)</f>
        <v>0</v>
      </c>
      <c r="AD276" s="42">
        <f>IF(AQ276="7",BH276,0)</f>
        <v>0</v>
      </c>
      <c r="AE276" s="42">
        <f>IF(AQ276="7",BI276,0)</f>
        <v>0</v>
      </c>
      <c r="AF276" s="42">
        <f>IF(AQ276="2",BH276,0)</f>
        <v>0</v>
      </c>
      <c r="AG276" s="42">
        <f>IF(AQ276="2",BI276,0)</f>
        <v>0</v>
      </c>
      <c r="AH276" s="42">
        <f>IF(AQ276="0",BJ276,0)</f>
        <v>0</v>
      </c>
      <c r="AI276" s="41"/>
      <c r="AJ276" s="24">
        <f>IF(AN276=0,L276,0)</f>
        <v>0</v>
      </c>
      <c r="AK276" s="24">
        <f>IF(AN276=15,L276,0)</f>
        <v>0</v>
      </c>
      <c r="AL276" s="24">
        <f>IF(AN276=21,L276,0)</f>
        <v>0</v>
      </c>
      <c r="AN276" s="42">
        <v>15</v>
      </c>
      <c r="AO276" s="42">
        <f>I276*0</f>
        <v>0</v>
      </c>
      <c r="AP276" s="42">
        <f>I276*(1-0)</f>
        <v>0</v>
      </c>
      <c r="AQ276" s="43" t="s">
        <v>11</v>
      </c>
      <c r="AV276" s="42">
        <f>AW276+AX276</f>
        <v>0</v>
      </c>
      <c r="AW276" s="42">
        <f>H276*AO276</f>
        <v>0</v>
      </c>
      <c r="AX276" s="42">
        <f>H276*AP276</f>
        <v>0</v>
      </c>
      <c r="AY276" s="45" t="s">
        <v>651</v>
      </c>
      <c r="AZ276" s="45" t="s">
        <v>663</v>
      </c>
      <c r="BA276" s="41" t="s">
        <v>664</v>
      </c>
      <c r="BC276" s="42">
        <f>AW276+AX276</f>
        <v>0</v>
      </c>
      <c r="BD276" s="42">
        <f>I276/(100-BE276)*100</f>
        <v>0</v>
      </c>
      <c r="BE276" s="42">
        <v>0</v>
      </c>
      <c r="BF276" s="42">
        <f>274</f>
        <v>274</v>
      </c>
      <c r="BH276" s="24">
        <f>H276*AO276</f>
        <v>0</v>
      </c>
      <c r="BI276" s="24">
        <f>H276*AP276</f>
        <v>0</v>
      </c>
      <c r="BJ276" s="24">
        <f>H276*I276</f>
        <v>0</v>
      </c>
      <c r="BK276" s="24" t="s">
        <v>669</v>
      </c>
      <c r="BL276" s="42">
        <v>96</v>
      </c>
    </row>
    <row r="277" spans="1:64" x14ac:dyDescent="0.25">
      <c r="A277" s="5"/>
      <c r="C277" s="18" t="s">
        <v>567</v>
      </c>
      <c r="F277" s="20"/>
      <c r="H277" s="79">
        <v>6.5880000000000001</v>
      </c>
      <c r="M277" s="36"/>
      <c r="N277" s="5"/>
    </row>
    <row r="278" spans="1:64" x14ac:dyDescent="0.25">
      <c r="A278" s="5"/>
      <c r="C278" s="18" t="s">
        <v>568</v>
      </c>
      <c r="F278" s="20"/>
      <c r="H278" s="79">
        <v>7.4999999999999997E-2</v>
      </c>
      <c r="M278" s="36"/>
      <c r="N278" s="5"/>
    </row>
    <row r="279" spans="1:64" x14ac:dyDescent="0.25">
      <c r="A279" s="5"/>
      <c r="C279" s="18" t="s">
        <v>569</v>
      </c>
      <c r="F279" s="20"/>
      <c r="H279" s="79">
        <v>0.34799999999999998</v>
      </c>
      <c r="M279" s="36"/>
      <c r="N279" s="5"/>
    </row>
    <row r="280" spans="1:64" x14ac:dyDescent="0.25">
      <c r="A280" s="4" t="s">
        <v>143</v>
      </c>
      <c r="B280" s="14" t="s">
        <v>306</v>
      </c>
      <c r="C280" s="136" t="s">
        <v>570</v>
      </c>
      <c r="D280" s="137"/>
      <c r="E280" s="137"/>
      <c r="F280" s="137"/>
      <c r="G280" s="14" t="s">
        <v>594</v>
      </c>
      <c r="H280" s="78">
        <v>7.0110000000000001</v>
      </c>
      <c r="I280" s="24">
        <v>0</v>
      </c>
      <c r="J280" s="24">
        <f>H280*AO280</f>
        <v>0</v>
      </c>
      <c r="K280" s="24">
        <f>H280*AP280</f>
        <v>0</v>
      </c>
      <c r="L280" s="24">
        <f>H280*I280</f>
        <v>0</v>
      </c>
      <c r="M280" s="35" t="s">
        <v>616</v>
      </c>
      <c r="N280" s="5"/>
      <c r="Z280" s="42">
        <f>IF(AQ280="5",BJ280,0)</f>
        <v>0</v>
      </c>
      <c r="AB280" s="42">
        <f>IF(AQ280="1",BH280,0)</f>
        <v>0</v>
      </c>
      <c r="AC280" s="42">
        <f>IF(AQ280="1",BI280,0)</f>
        <v>0</v>
      </c>
      <c r="AD280" s="42">
        <f>IF(AQ280="7",BH280,0)</f>
        <v>0</v>
      </c>
      <c r="AE280" s="42">
        <f>IF(AQ280="7",BI280,0)</f>
        <v>0</v>
      </c>
      <c r="AF280" s="42">
        <f>IF(AQ280="2",BH280,0)</f>
        <v>0</v>
      </c>
      <c r="AG280" s="42">
        <f>IF(AQ280="2",BI280,0)</f>
        <v>0</v>
      </c>
      <c r="AH280" s="42">
        <f>IF(AQ280="0",BJ280,0)</f>
        <v>0</v>
      </c>
      <c r="AI280" s="41"/>
      <c r="AJ280" s="24">
        <f>IF(AN280=0,L280,0)</f>
        <v>0</v>
      </c>
      <c r="AK280" s="24">
        <f>IF(AN280=15,L280,0)</f>
        <v>0</v>
      </c>
      <c r="AL280" s="24">
        <f>IF(AN280=21,L280,0)</f>
        <v>0</v>
      </c>
      <c r="AN280" s="42">
        <v>15</v>
      </c>
      <c r="AO280" s="42">
        <f>I280*0</f>
        <v>0</v>
      </c>
      <c r="AP280" s="42">
        <f>I280*(1-0)</f>
        <v>0</v>
      </c>
      <c r="AQ280" s="43" t="s">
        <v>11</v>
      </c>
      <c r="AV280" s="42">
        <f>AW280+AX280</f>
        <v>0</v>
      </c>
      <c r="AW280" s="42">
        <f>H280*AO280</f>
        <v>0</v>
      </c>
      <c r="AX280" s="42">
        <f>H280*AP280</f>
        <v>0</v>
      </c>
      <c r="AY280" s="45" t="s">
        <v>651</v>
      </c>
      <c r="AZ280" s="45" t="s">
        <v>663</v>
      </c>
      <c r="BA280" s="41" t="s">
        <v>664</v>
      </c>
      <c r="BC280" s="42">
        <f>AW280+AX280</f>
        <v>0</v>
      </c>
      <c r="BD280" s="42">
        <f>I280/(100-BE280)*100</f>
        <v>0</v>
      </c>
      <c r="BE280" s="42">
        <v>0</v>
      </c>
      <c r="BF280" s="42">
        <f>278</f>
        <v>278</v>
      </c>
      <c r="BH280" s="24">
        <f>H280*AO280</f>
        <v>0</v>
      </c>
      <c r="BI280" s="24">
        <f>H280*AP280</f>
        <v>0</v>
      </c>
      <c r="BJ280" s="24">
        <f>H280*I280</f>
        <v>0</v>
      </c>
      <c r="BK280" s="24" t="s">
        <v>669</v>
      </c>
      <c r="BL280" s="42">
        <v>96</v>
      </c>
    </row>
    <row r="281" spans="1:64" x14ac:dyDescent="0.25">
      <c r="A281" s="5"/>
      <c r="C281" s="18" t="s">
        <v>567</v>
      </c>
      <c r="F281" s="20"/>
      <c r="H281" s="79">
        <v>6.5880000000000001</v>
      </c>
      <c r="M281" s="36"/>
      <c r="N281" s="5"/>
    </row>
    <row r="282" spans="1:64" x14ac:dyDescent="0.25">
      <c r="A282" s="5"/>
      <c r="C282" s="18" t="s">
        <v>568</v>
      </c>
      <c r="F282" s="20"/>
      <c r="H282" s="79">
        <v>7.4999999999999997E-2</v>
      </c>
      <c r="M282" s="36"/>
      <c r="N282" s="5"/>
    </row>
    <row r="283" spans="1:64" x14ac:dyDescent="0.25">
      <c r="A283" s="5"/>
      <c r="C283" s="18" t="s">
        <v>569</v>
      </c>
      <c r="F283" s="20"/>
      <c r="H283" s="79">
        <v>0.34799999999999998</v>
      </c>
      <c r="M283" s="36"/>
      <c r="N283" s="5"/>
    </row>
    <row r="284" spans="1:64" x14ac:dyDescent="0.25">
      <c r="A284" s="4" t="s">
        <v>144</v>
      </c>
      <c r="B284" s="14" t="s">
        <v>307</v>
      </c>
      <c r="C284" s="136" t="s">
        <v>571</v>
      </c>
      <c r="D284" s="137"/>
      <c r="E284" s="137"/>
      <c r="F284" s="137"/>
      <c r="G284" s="14" t="s">
        <v>594</v>
      </c>
      <c r="H284" s="78">
        <v>7.0110000000000001</v>
      </c>
      <c r="I284" s="24">
        <v>0</v>
      </c>
      <c r="J284" s="24">
        <f>H284*AO284</f>
        <v>0</v>
      </c>
      <c r="K284" s="24">
        <f>H284*AP284</f>
        <v>0</v>
      </c>
      <c r="L284" s="24">
        <f>H284*I284</f>
        <v>0</v>
      </c>
      <c r="M284" s="35" t="s">
        <v>616</v>
      </c>
      <c r="N284" s="5"/>
      <c r="Z284" s="42">
        <f>IF(AQ284="5",BJ284,0)</f>
        <v>0</v>
      </c>
      <c r="AB284" s="42">
        <f>IF(AQ284="1",BH284,0)</f>
        <v>0</v>
      </c>
      <c r="AC284" s="42">
        <f>IF(AQ284="1",BI284,0)</f>
        <v>0</v>
      </c>
      <c r="AD284" s="42">
        <f>IF(AQ284="7",BH284,0)</f>
        <v>0</v>
      </c>
      <c r="AE284" s="42">
        <f>IF(AQ284="7",BI284,0)</f>
        <v>0</v>
      </c>
      <c r="AF284" s="42">
        <f>IF(AQ284="2",BH284,0)</f>
        <v>0</v>
      </c>
      <c r="AG284" s="42">
        <f>IF(AQ284="2",BI284,0)</f>
        <v>0</v>
      </c>
      <c r="AH284" s="42">
        <f>IF(AQ284="0",BJ284,0)</f>
        <v>0</v>
      </c>
      <c r="AI284" s="41"/>
      <c r="AJ284" s="24">
        <f>IF(AN284=0,L284,0)</f>
        <v>0</v>
      </c>
      <c r="AK284" s="24">
        <f>IF(AN284=15,L284,0)</f>
        <v>0</v>
      </c>
      <c r="AL284" s="24">
        <f>IF(AN284=21,L284,0)</f>
        <v>0</v>
      </c>
      <c r="AN284" s="42">
        <v>15</v>
      </c>
      <c r="AO284" s="42">
        <f>I284*0</f>
        <v>0</v>
      </c>
      <c r="AP284" s="42">
        <f>I284*(1-0)</f>
        <v>0</v>
      </c>
      <c r="AQ284" s="43" t="s">
        <v>11</v>
      </c>
      <c r="AV284" s="42">
        <f>AW284+AX284</f>
        <v>0</v>
      </c>
      <c r="AW284" s="42">
        <f>H284*AO284</f>
        <v>0</v>
      </c>
      <c r="AX284" s="42">
        <f>H284*AP284</f>
        <v>0</v>
      </c>
      <c r="AY284" s="45" t="s">
        <v>651</v>
      </c>
      <c r="AZ284" s="45" t="s">
        <v>663</v>
      </c>
      <c r="BA284" s="41" t="s">
        <v>664</v>
      </c>
      <c r="BC284" s="42">
        <f>AW284+AX284</f>
        <v>0</v>
      </c>
      <c r="BD284" s="42">
        <f>I284/(100-BE284)*100</f>
        <v>0</v>
      </c>
      <c r="BE284" s="42">
        <v>0</v>
      </c>
      <c r="BF284" s="42">
        <f>282</f>
        <v>282</v>
      </c>
      <c r="BH284" s="24">
        <f>H284*AO284</f>
        <v>0</v>
      </c>
      <c r="BI284" s="24">
        <f>H284*AP284</f>
        <v>0</v>
      </c>
      <c r="BJ284" s="24">
        <f>H284*I284</f>
        <v>0</v>
      </c>
      <c r="BK284" s="24" t="s">
        <v>669</v>
      </c>
      <c r="BL284" s="42">
        <v>96</v>
      </c>
    </row>
    <row r="285" spans="1:64" x14ac:dyDescent="0.25">
      <c r="A285" s="5"/>
      <c r="C285" s="18" t="s">
        <v>567</v>
      </c>
      <c r="F285" s="20"/>
      <c r="H285" s="79">
        <v>6.5880000000000001</v>
      </c>
      <c r="M285" s="36"/>
      <c r="N285" s="5"/>
    </row>
    <row r="286" spans="1:64" x14ac:dyDescent="0.25">
      <c r="A286" s="5"/>
      <c r="C286" s="18" t="s">
        <v>568</v>
      </c>
      <c r="F286" s="20"/>
      <c r="H286" s="79">
        <v>7.4999999999999997E-2</v>
      </c>
      <c r="M286" s="36"/>
      <c r="N286" s="5"/>
    </row>
    <row r="287" spans="1:64" x14ac:dyDescent="0.25">
      <c r="A287" s="5"/>
      <c r="C287" s="18" t="s">
        <v>569</v>
      </c>
      <c r="F287" s="20"/>
      <c r="H287" s="79">
        <v>0.34799999999999998</v>
      </c>
      <c r="M287" s="36"/>
      <c r="N287" s="5"/>
    </row>
    <row r="288" spans="1:64" x14ac:dyDescent="0.25">
      <c r="A288" s="4" t="s">
        <v>145</v>
      </c>
      <c r="B288" s="14" t="s">
        <v>308</v>
      </c>
      <c r="C288" s="136" t="s">
        <v>572</v>
      </c>
      <c r="D288" s="137"/>
      <c r="E288" s="137"/>
      <c r="F288" s="137"/>
      <c r="G288" s="14" t="s">
        <v>594</v>
      </c>
      <c r="H288" s="78">
        <v>133.20099999999999</v>
      </c>
      <c r="I288" s="24">
        <v>0</v>
      </c>
      <c r="J288" s="24">
        <f>H288*AO288</f>
        <v>0</v>
      </c>
      <c r="K288" s="24">
        <f>H288*AP288</f>
        <v>0</v>
      </c>
      <c r="L288" s="24">
        <f>H288*I288</f>
        <v>0</v>
      </c>
      <c r="M288" s="35" t="s">
        <v>616</v>
      </c>
      <c r="N288" s="5"/>
      <c r="Z288" s="42">
        <f>IF(AQ288="5",BJ288,0)</f>
        <v>0</v>
      </c>
      <c r="AB288" s="42">
        <f>IF(AQ288="1",BH288,0)</f>
        <v>0</v>
      </c>
      <c r="AC288" s="42">
        <f>IF(AQ288="1",BI288,0)</f>
        <v>0</v>
      </c>
      <c r="AD288" s="42">
        <f>IF(AQ288="7",BH288,0)</f>
        <v>0</v>
      </c>
      <c r="AE288" s="42">
        <f>IF(AQ288="7",BI288,0)</f>
        <v>0</v>
      </c>
      <c r="AF288" s="42">
        <f>IF(AQ288="2",BH288,0)</f>
        <v>0</v>
      </c>
      <c r="AG288" s="42">
        <f>IF(AQ288="2",BI288,0)</f>
        <v>0</v>
      </c>
      <c r="AH288" s="42">
        <f>IF(AQ288="0",BJ288,0)</f>
        <v>0</v>
      </c>
      <c r="AI288" s="41"/>
      <c r="AJ288" s="24">
        <f>IF(AN288=0,L288,0)</f>
        <v>0</v>
      </c>
      <c r="AK288" s="24">
        <f>IF(AN288=15,L288,0)</f>
        <v>0</v>
      </c>
      <c r="AL288" s="24">
        <f>IF(AN288=21,L288,0)</f>
        <v>0</v>
      </c>
      <c r="AN288" s="42">
        <v>15</v>
      </c>
      <c r="AO288" s="42">
        <f>I288*0</f>
        <v>0</v>
      </c>
      <c r="AP288" s="42">
        <f>I288*(1-0)</f>
        <v>0</v>
      </c>
      <c r="AQ288" s="43" t="s">
        <v>11</v>
      </c>
      <c r="AV288" s="42">
        <f>AW288+AX288</f>
        <v>0</v>
      </c>
      <c r="AW288" s="42">
        <f>H288*AO288</f>
        <v>0</v>
      </c>
      <c r="AX288" s="42">
        <f>H288*AP288</f>
        <v>0</v>
      </c>
      <c r="AY288" s="45" t="s">
        <v>651</v>
      </c>
      <c r="AZ288" s="45" t="s">
        <v>663</v>
      </c>
      <c r="BA288" s="41" t="s">
        <v>664</v>
      </c>
      <c r="BC288" s="42">
        <f>AW288+AX288</f>
        <v>0</v>
      </c>
      <c r="BD288" s="42">
        <f>I288/(100-BE288)*100</f>
        <v>0</v>
      </c>
      <c r="BE288" s="42">
        <v>0</v>
      </c>
      <c r="BF288" s="42">
        <f>286</f>
        <v>286</v>
      </c>
      <c r="BH288" s="24">
        <f>H288*AO288</f>
        <v>0</v>
      </c>
      <c r="BI288" s="24">
        <f>H288*AP288</f>
        <v>0</v>
      </c>
      <c r="BJ288" s="24">
        <f>H288*I288</f>
        <v>0</v>
      </c>
      <c r="BK288" s="24" t="s">
        <v>669</v>
      </c>
      <c r="BL288" s="42">
        <v>96</v>
      </c>
    </row>
    <row r="289" spans="1:64" x14ac:dyDescent="0.25">
      <c r="A289" s="5"/>
      <c r="C289" s="18" t="s">
        <v>573</v>
      </c>
      <c r="F289" s="20"/>
      <c r="H289" s="79">
        <v>125.164</v>
      </c>
      <c r="M289" s="36"/>
      <c r="N289" s="5"/>
    </row>
    <row r="290" spans="1:64" x14ac:dyDescent="0.25">
      <c r="A290" s="5"/>
      <c r="C290" s="18" t="s">
        <v>574</v>
      </c>
      <c r="F290" s="20"/>
      <c r="H290" s="79">
        <v>1.425</v>
      </c>
      <c r="M290" s="36"/>
      <c r="N290" s="5"/>
    </row>
    <row r="291" spans="1:64" x14ac:dyDescent="0.25">
      <c r="A291" s="5"/>
      <c r="C291" s="18" t="s">
        <v>575</v>
      </c>
      <c r="F291" s="20"/>
      <c r="H291" s="79">
        <v>6.6120000000000001</v>
      </c>
      <c r="M291" s="36"/>
      <c r="N291" s="5"/>
    </row>
    <row r="292" spans="1:64" x14ac:dyDescent="0.25">
      <c r="A292" s="4" t="s">
        <v>146</v>
      </c>
      <c r="B292" s="14" t="s">
        <v>309</v>
      </c>
      <c r="C292" s="136" t="s">
        <v>576</v>
      </c>
      <c r="D292" s="137"/>
      <c r="E292" s="137"/>
      <c r="F292" s="137"/>
      <c r="G292" s="14" t="s">
        <v>594</v>
      </c>
      <c r="H292" s="78">
        <v>7.0110000000000001</v>
      </c>
      <c r="I292" s="24">
        <v>0</v>
      </c>
      <c r="J292" s="24">
        <f>H292*AO292</f>
        <v>0</v>
      </c>
      <c r="K292" s="24">
        <f>H292*AP292</f>
        <v>0</v>
      </c>
      <c r="L292" s="24">
        <f>H292*I292</f>
        <v>0</v>
      </c>
      <c r="M292" s="35" t="s">
        <v>616</v>
      </c>
      <c r="N292" s="5"/>
      <c r="Z292" s="42">
        <f>IF(AQ292="5",BJ292,0)</f>
        <v>0</v>
      </c>
      <c r="AB292" s="42">
        <f>IF(AQ292="1",BH292,0)</f>
        <v>0</v>
      </c>
      <c r="AC292" s="42">
        <f>IF(AQ292="1",BI292,0)</f>
        <v>0</v>
      </c>
      <c r="AD292" s="42">
        <f>IF(AQ292="7",BH292,0)</f>
        <v>0</v>
      </c>
      <c r="AE292" s="42">
        <f>IF(AQ292="7",BI292,0)</f>
        <v>0</v>
      </c>
      <c r="AF292" s="42">
        <f>IF(AQ292="2",BH292,0)</f>
        <v>0</v>
      </c>
      <c r="AG292" s="42">
        <f>IF(AQ292="2",BI292,0)</f>
        <v>0</v>
      </c>
      <c r="AH292" s="42">
        <f>IF(AQ292="0",BJ292,0)</f>
        <v>0</v>
      </c>
      <c r="AI292" s="41"/>
      <c r="AJ292" s="24">
        <f>IF(AN292=0,L292,0)</f>
        <v>0</v>
      </c>
      <c r="AK292" s="24">
        <f>IF(AN292=15,L292,0)</f>
        <v>0</v>
      </c>
      <c r="AL292" s="24">
        <f>IF(AN292=21,L292,0)</f>
        <v>0</v>
      </c>
      <c r="AN292" s="42">
        <v>15</v>
      </c>
      <c r="AO292" s="42">
        <f>I292*0</f>
        <v>0</v>
      </c>
      <c r="AP292" s="42">
        <f>I292*(1-0)</f>
        <v>0</v>
      </c>
      <c r="AQ292" s="43" t="s">
        <v>11</v>
      </c>
      <c r="AV292" s="42">
        <f>AW292+AX292</f>
        <v>0</v>
      </c>
      <c r="AW292" s="42">
        <f>H292*AO292</f>
        <v>0</v>
      </c>
      <c r="AX292" s="42">
        <f>H292*AP292</f>
        <v>0</v>
      </c>
      <c r="AY292" s="45" t="s">
        <v>651</v>
      </c>
      <c r="AZ292" s="45" t="s">
        <v>663</v>
      </c>
      <c r="BA292" s="41" t="s">
        <v>664</v>
      </c>
      <c r="BC292" s="42">
        <f>AW292+AX292</f>
        <v>0</v>
      </c>
      <c r="BD292" s="42">
        <f>I292/(100-BE292)*100</f>
        <v>0</v>
      </c>
      <c r="BE292" s="42">
        <v>0</v>
      </c>
      <c r="BF292" s="42">
        <f>290</f>
        <v>290</v>
      </c>
      <c r="BH292" s="24">
        <f>H292*AO292</f>
        <v>0</v>
      </c>
      <c r="BI292" s="24">
        <f>H292*AP292</f>
        <v>0</v>
      </c>
      <c r="BJ292" s="24">
        <f>H292*I292</f>
        <v>0</v>
      </c>
      <c r="BK292" s="24" t="s">
        <v>669</v>
      </c>
      <c r="BL292" s="42">
        <v>96</v>
      </c>
    </row>
    <row r="293" spans="1:64" x14ac:dyDescent="0.25">
      <c r="A293" s="5"/>
      <c r="C293" s="18" t="s">
        <v>567</v>
      </c>
      <c r="F293" s="20"/>
      <c r="H293" s="79">
        <v>6.5880000000000001</v>
      </c>
      <c r="M293" s="36"/>
      <c r="N293" s="5"/>
    </row>
    <row r="294" spans="1:64" x14ac:dyDescent="0.25">
      <c r="A294" s="5"/>
      <c r="C294" s="18" t="s">
        <v>568</v>
      </c>
      <c r="F294" s="20"/>
      <c r="H294" s="79">
        <v>7.4999999999999997E-2</v>
      </c>
      <c r="M294" s="36"/>
      <c r="N294" s="5"/>
    </row>
    <row r="295" spans="1:64" x14ac:dyDescent="0.25">
      <c r="A295" s="5"/>
      <c r="C295" s="18" t="s">
        <v>569</v>
      </c>
      <c r="F295" s="20"/>
      <c r="H295" s="79">
        <v>0.34799999999999998</v>
      </c>
      <c r="M295" s="36"/>
      <c r="N295" s="5"/>
    </row>
    <row r="296" spans="1:64" x14ac:dyDescent="0.25">
      <c r="A296" s="6"/>
      <c r="B296" s="15" t="s">
        <v>310</v>
      </c>
      <c r="C296" s="141" t="s">
        <v>577</v>
      </c>
      <c r="D296" s="142"/>
      <c r="E296" s="142"/>
      <c r="F296" s="142"/>
      <c r="G296" s="22" t="s">
        <v>6</v>
      </c>
      <c r="H296" s="22" t="s">
        <v>6</v>
      </c>
      <c r="I296" s="22" t="s">
        <v>6</v>
      </c>
      <c r="J296" s="48">
        <f>SUM(J297:J297)</f>
        <v>0</v>
      </c>
      <c r="K296" s="48">
        <f>SUM(K297:K297)</f>
        <v>0</v>
      </c>
      <c r="L296" s="48">
        <f>SUM(L297:L297)</f>
        <v>0</v>
      </c>
      <c r="M296" s="37"/>
      <c r="N296" s="5"/>
      <c r="AI296" s="41"/>
      <c r="AS296" s="48">
        <f>SUM(AJ297:AJ297)</f>
        <v>0</v>
      </c>
      <c r="AT296" s="48">
        <f>SUM(AK297:AK297)</f>
        <v>0</v>
      </c>
      <c r="AU296" s="48">
        <f>SUM(AL297:AL297)</f>
        <v>0</v>
      </c>
    </row>
    <row r="297" spans="1:64" x14ac:dyDescent="0.25">
      <c r="A297" s="4" t="s">
        <v>147</v>
      </c>
      <c r="B297" s="14" t="s">
        <v>311</v>
      </c>
      <c r="C297" s="136" t="s">
        <v>578</v>
      </c>
      <c r="D297" s="137"/>
      <c r="E297" s="137"/>
      <c r="F297" s="137"/>
      <c r="G297" s="14" t="s">
        <v>594</v>
      </c>
      <c r="H297" s="78">
        <v>4.1539999999999999</v>
      </c>
      <c r="I297" s="24">
        <v>0</v>
      </c>
      <c r="J297" s="24">
        <f>H297*AO297</f>
        <v>0</v>
      </c>
      <c r="K297" s="24">
        <f>H297*AP297</f>
        <v>0</v>
      </c>
      <c r="L297" s="24">
        <f>H297*I297</f>
        <v>0</v>
      </c>
      <c r="M297" s="35" t="s">
        <v>616</v>
      </c>
      <c r="N297" s="5"/>
      <c r="Z297" s="42">
        <f>IF(AQ297="5",BJ297,0)</f>
        <v>0</v>
      </c>
      <c r="AB297" s="42">
        <f>IF(AQ297="1",BH297,0)</f>
        <v>0</v>
      </c>
      <c r="AC297" s="42">
        <f>IF(AQ297="1",BI297,0)</f>
        <v>0</v>
      </c>
      <c r="AD297" s="42">
        <f>IF(AQ297="7",BH297,0)</f>
        <v>0</v>
      </c>
      <c r="AE297" s="42">
        <f>IF(AQ297="7",BI297,0)</f>
        <v>0</v>
      </c>
      <c r="AF297" s="42">
        <f>IF(AQ297="2",BH297,0)</f>
        <v>0</v>
      </c>
      <c r="AG297" s="42">
        <f>IF(AQ297="2",BI297,0)</f>
        <v>0</v>
      </c>
      <c r="AH297" s="42">
        <f>IF(AQ297="0",BJ297,0)</f>
        <v>0</v>
      </c>
      <c r="AI297" s="41"/>
      <c r="AJ297" s="24">
        <f>IF(AN297=0,L297,0)</f>
        <v>0</v>
      </c>
      <c r="AK297" s="24">
        <f>IF(AN297=15,L297,0)</f>
        <v>0</v>
      </c>
      <c r="AL297" s="24">
        <f>IF(AN297=21,L297,0)</f>
        <v>0</v>
      </c>
      <c r="AN297" s="42">
        <v>15</v>
      </c>
      <c r="AO297" s="42">
        <f>I297*0</f>
        <v>0</v>
      </c>
      <c r="AP297" s="42">
        <f>I297*(1-0)</f>
        <v>0</v>
      </c>
      <c r="AQ297" s="43" t="s">
        <v>11</v>
      </c>
      <c r="AV297" s="42">
        <f>AW297+AX297</f>
        <v>0</v>
      </c>
      <c r="AW297" s="42">
        <f>H297*AO297</f>
        <v>0</v>
      </c>
      <c r="AX297" s="42">
        <f>H297*AP297</f>
        <v>0</v>
      </c>
      <c r="AY297" s="45" t="s">
        <v>652</v>
      </c>
      <c r="AZ297" s="45" t="s">
        <v>663</v>
      </c>
      <c r="BA297" s="41" t="s">
        <v>664</v>
      </c>
      <c r="BC297" s="42">
        <f>AW297+AX297</f>
        <v>0</v>
      </c>
      <c r="BD297" s="42">
        <f>I297/(100-BE297)*100</f>
        <v>0</v>
      </c>
      <c r="BE297" s="42">
        <v>0</v>
      </c>
      <c r="BF297" s="42">
        <f>295</f>
        <v>295</v>
      </c>
      <c r="BH297" s="24">
        <f>H297*AO297</f>
        <v>0</v>
      </c>
      <c r="BI297" s="24">
        <f>H297*AP297</f>
        <v>0</v>
      </c>
      <c r="BJ297" s="24">
        <f>H297*I297</f>
        <v>0</v>
      </c>
      <c r="BK297" s="24" t="s">
        <v>669</v>
      </c>
      <c r="BL297" s="42" t="s">
        <v>310</v>
      </c>
    </row>
    <row r="298" spans="1:64" x14ac:dyDescent="0.25">
      <c r="A298" s="5"/>
      <c r="C298" s="18" t="s">
        <v>579</v>
      </c>
      <c r="F298" s="20"/>
      <c r="H298" s="79">
        <v>4.1539999999999999</v>
      </c>
      <c r="M298" s="36"/>
      <c r="N298" s="5"/>
    </row>
    <row r="299" spans="1:64" x14ac:dyDescent="0.25">
      <c r="A299" s="6"/>
      <c r="B299" s="15" t="s">
        <v>312</v>
      </c>
      <c r="C299" s="141" t="s">
        <v>580</v>
      </c>
      <c r="D299" s="142"/>
      <c r="E299" s="142"/>
      <c r="F299" s="142"/>
      <c r="G299" s="22" t="s">
        <v>6</v>
      </c>
      <c r="H299" s="22" t="s">
        <v>6</v>
      </c>
      <c r="I299" s="22" t="s">
        <v>6</v>
      </c>
      <c r="J299" s="48">
        <f>SUM(J300:J300)</f>
        <v>0</v>
      </c>
      <c r="K299" s="48">
        <f>SUM(K300:K300)</f>
        <v>0</v>
      </c>
      <c r="L299" s="48">
        <f>SUM(L300:L300)</f>
        <v>0</v>
      </c>
      <c r="M299" s="37"/>
      <c r="N299" s="5"/>
      <c r="AI299" s="41"/>
      <c r="AS299" s="48">
        <f>SUM(AJ300:AJ300)</f>
        <v>0</v>
      </c>
      <c r="AT299" s="48">
        <f>SUM(AK300:AK300)</f>
        <v>0</v>
      </c>
      <c r="AU299" s="48">
        <f>SUM(AL300:AL300)</f>
        <v>0</v>
      </c>
    </row>
    <row r="300" spans="1:64" x14ac:dyDescent="0.25">
      <c r="A300" s="4" t="s">
        <v>148</v>
      </c>
      <c r="B300" s="14" t="s">
        <v>313</v>
      </c>
      <c r="C300" s="136" t="s">
        <v>581</v>
      </c>
      <c r="D300" s="137"/>
      <c r="E300" s="137"/>
      <c r="F300" s="137"/>
      <c r="G300" s="14" t="s">
        <v>600</v>
      </c>
      <c r="H300" s="78">
        <v>1</v>
      </c>
      <c r="I300" s="24">
        <v>0</v>
      </c>
      <c r="J300" s="24">
        <f>H300*AO300</f>
        <v>0</v>
      </c>
      <c r="K300" s="24">
        <f>H300*AP300</f>
        <v>0</v>
      </c>
      <c r="L300" s="24">
        <f>H300*I300</f>
        <v>0</v>
      </c>
      <c r="M300" s="35"/>
      <c r="N300" s="5"/>
      <c r="Z300" s="42">
        <f>IF(AQ300="5",BJ300,0)</f>
        <v>0</v>
      </c>
      <c r="AB300" s="42">
        <f>IF(AQ300="1",BH300,0)</f>
        <v>0</v>
      </c>
      <c r="AC300" s="42">
        <f>IF(AQ300="1",BI300,0)</f>
        <v>0</v>
      </c>
      <c r="AD300" s="42">
        <f>IF(AQ300="7",BH300,0)</f>
        <v>0</v>
      </c>
      <c r="AE300" s="42">
        <f>IF(AQ300="7",BI300,0)</f>
        <v>0</v>
      </c>
      <c r="AF300" s="42">
        <f>IF(AQ300="2",BH300,0)</f>
        <v>0</v>
      </c>
      <c r="AG300" s="42">
        <f>IF(AQ300="2",BI300,0)</f>
        <v>0</v>
      </c>
      <c r="AH300" s="42">
        <f>IF(AQ300="0",BJ300,0)</f>
        <v>0</v>
      </c>
      <c r="AI300" s="41"/>
      <c r="AJ300" s="24">
        <f>IF(AN300=0,L300,0)</f>
        <v>0</v>
      </c>
      <c r="AK300" s="24">
        <f>IF(AN300=15,L300,0)</f>
        <v>0</v>
      </c>
      <c r="AL300" s="24">
        <f>IF(AN300=21,L300,0)</f>
        <v>0</v>
      </c>
      <c r="AN300" s="42">
        <v>15</v>
      </c>
      <c r="AO300" s="42">
        <f>I300*0</f>
        <v>0</v>
      </c>
      <c r="AP300" s="42">
        <f>I300*(1-0)</f>
        <v>0</v>
      </c>
      <c r="AQ300" s="43" t="s">
        <v>8</v>
      </c>
      <c r="AV300" s="42">
        <f>AW300+AX300</f>
        <v>0</v>
      </c>
      <c r="AW300" s="42">
        <f>H300*AO300</f>
        <v>0</v>
      </c>
      <c r="AX300" s="42">
        <f>H300*AP300</f>
        <v>0</v>
      </c>
      <c r="AY300" s="45" t="s">
        <v>653</v>
      </c>
      <c r="AZ300" s="45" t="s">
        <v>663</v>
      </c>
      <c r="BA300" s="41" t="s">
        <v>664</v>
      </c>
      <c r="BC300" s="42">
        <f>AW300+AX300</f>
        <v>0</v>
      </c>
      <c r="BD300" s="42">
        <f>I300/(100-BE300)*100</f>
        <v>0</v>
      </c>
      <c r="BE300" s="42">
        <v>0</v>
      </c>
      <c r="BF300" s="42">
        <f>298</f>
        <v>298</v>
      </c>
      <c r="BH300" s="24">
        <f>H300*AO300</f>
        <v>0</v>
      </c>
      <c r="BI300" s="24">
        <f>H300*AP300</f>
        <v>0</v>
      </c>
      <c r="BJ300" s="24">
        <f>H300*I300</f>
        <v>0</v>
      </c>
      <c r="BK300" s="24" t="s">
        <v>669</v>
      </c>
      <c r="BL300" s="42" t="s">
        <v>312</v>
      </c>
    </row>
    <row r="301" spans="1:64" x14ac:dyDescent="0.25">
      <c r="A301" s="6"/>
      <c r="B301" s="15" t="s">
        <v>314</v>
      </c>
      <c r="C301" s="141" t="s">
        <v>582</v>
      </c>
      <c r="D301" s="142"/>
      <c r="E301" s="142"/>
      <c r="F301" s="142"/>
      <c r="G301" s="22" t="s">
        <v>6</v>
      </c>
      <c r="H301" s="22" t="s">
        <v>6</v>
      </c>
      <c r="I301" s="22" t="s">
        <v>6</v>
      </c>
      <c r="J301" s="48">
        <f>SUM(J302:J302)</f>
        <v>0</v>
      </c>
      <c r="K301" s="48">
        <f>SUM(K302:K302)</f>
        <v>0</v>
      </c>
      <c r="L301" s="48">
        <f>SUM(L302:L302)</f>
        <v>0</v>
      </c>
      <c r="M301" s="37"/>
      <c r="N301" s="5"/>
      <c r="AI301" s="41"/>
      <c r="AS301" s="48">
        <f>SUM(AJ302:AJ302)</f>
        <v>0</v>
      </c>
      <c r="AT301" s="48">
        <f>SUM(AK302:AK302)</f>
        <v>0</v>
      </c>
      <c r="AU301" s="48">
        <f>SUM(AL302:AL302)</f>
        <v>0</v>
      </c>
    </row>
    <row r="302" spans="1:64" x14ac:dyDescent="0.25">
      <c r="A302" s="8" t="s">
        <v>149</v>
      </c>
      <c r="B302" s="17" t="s">
        <v>315</v>
      </c>
      <c r="C302" s="138" t="s">
        <v>583</v>
      </c>
      <c r="D302" s="139"/>
      <c r="E302" s="139"/>
      <c r="F302" s="139"/>
      <c r="G302" s="17" t="s">
        <v>601</v>
      </c>
      <c r="H302" s="81">
        <v>1</v>
      </c>
      <c r="I302" s="26">
        <v>0</v>
      </c>
      <c r="J302" s="26">
        <f>H302*AO302</f>
        <v>0</v>
      </c>
      <c r="K302" s="26">
        <f>H302*AP302</f>
        <v>0</v>
      </c>
      <c r="L302" s="26">
        <f>H302*I302</f>
        <v>0</v>
      </c>
      <c r="M302" s="39"/>
      <c r="N302" s="5"/>
      <c r="Z302" s="42">
        <f>IF(AQ302="5",BJ302,0)</f>
        <v>0</v>
      </c>
      <c r="AB302" s="42">
        <f>IF(AQ302="1",BH302,0)</f>
        <v>0</v>
      </c>
      <c r="AC302" s="42">
        <f>IF(AQ302="1",BI302,0)</f>
        <v>0</v>
      </c>
      <c r="AD302" s="42">
        <f>IF(AQ302="7",BH302,0)</f>
        <v>0</v>
      </c>
      <c r="AE302" s="42">
        <f>IF(AQ302="7",BI302,0)</f>
        <v>0</v>
      </c>
      <c r="AF302" s="42">
        <f>IF(AQ302="2",BH302,0)</f>
        <v>0</v>
      </c>
      <c r="AG302" s="42">
        <f>IF(AQ302="2",BI302,0)</f>
        <v>0</v>
      </c>
      <c r="AH302" s="42">
        <f>IF(AQ302="0",BJ302,0)</f>
        <v>0</v>
      </c>
      <c r="AI302" s="41"/>
      <c r="AJ302" s="24">
        <f>IF(AN302=0,L302,0)</f>
        <v>0</v>
      </c>
      <c r="AK302" s="24">
        <f>IF(AN302=15,L302,0)</f>
        <v>0</v>
      </c>
      <c r="AL302" s="24">
        <f>IF(AN302=21,L302,0)</f>
        <v>0</v>
      </c>
      <c r="AN302" s="42">
        <v>15</v>
      </c>
      <c r="AO302" s="42">
        <f>I302*0</f>
        <v>0</v>
      </c>
      <c r="AP302" s="42">
        <f>I302*(1-0)</f>
        <v>0</v>
      </c>
      <c r="AQ302" s="43" t="s">
        <v>8</v>
      </c>
      <c r="AV302" s="42">
        <f>AW302+AX302</f>
        <v>0</v>
      </c>
      <c r="AW302" s="42">
        <f>H302*AO302</f>
        <v>0</v>
      </c>
      <c r="AX302" s="42">
        <f>H302*AP302</f>
        <v>0</v>
      </c>
      <c r="AY302" s="45" t="s">
        <v>654</v>
      </c>
      <c r="AZ302" s="45" t="s">
        <v>663</v>
      </c>
      <c r="BA302" s="41" t="s">
        <v>664</v>
      </c>
      <c r="BC302" s="42">
        <f>AW302+AX302</f>
        <v>0</v>
      </c>
      <c r="BD302" s="42">
        <f>I302/(100-BE302)*100</f>
        <v>0</v>
      </c>
      <c r="BE302" s="42">
        <v>0</v>
      </c>
      <c r="BF302" s="42">
        <f>300</f>
        <v>300</v>
      </c>
      <c r="BH302" s="24">
        <f>H302*AO302</f>
        <v>0</v>
      </c>
      <c r="BI302" s="24">
        <f>H302*AP302</f>
        <v>0</v>
      </c>
      <c r="BJ302" s="24">
        <f>H302*I302</f>
        <v>0</v>
      </c>
      <c r="BK302" s="24" t="s">
        <v>669</v>
      </c>
      <c r="BL302" s="42" t="s">
        <v>314</v>
      </c>
    </row>
    <row r="303" spans="1:64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140" t="s">
        <v>611</v>
      </c>
      <c r="K303" s="125"/>
      <c r="L303" s="49">
        <f>L12+L17+L29+L41+L52+L55+L62+L75+L86+L88+L114+L120+L124+L127+L133+L141+L164+L168+L180+L204+L220+L223+L233+L236+L244+L246+L296+L299+L301</f>
        <v>0</v>
      </c>
      <c r="M303" s="9"/>
    </row>
    <row r="304" spans="1:64" ht="11.25" customHeight="1" x14ac:dyDescent="0.25">
      <c r="A304" s="10" t="s">
        <v>150</v>
      </c>
    </row>
    <row r="305" spans="1:13" x14ac:dyDescent="0.25">
      <c r="A305" s="93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</row>
  </sheetData>
  <mergeCells count="204">
    <mergeCell ref="A1:M1"/>
    <mergeCell ref="A2:B3"/>
    <mergeCell ref="C2:C3"/>
    <mergeCell ref="D2:E3"/>
    <mergeCell ref="F2:F3"/>
    <mergeCell ref="G2:H3"/>
    <mergeCell ref="I2:M3"/>
    <mergeCell ref="A4:B5"/>
    <mergeCell ref="C4:C5"/>
    <mergeCell ref="D4:E5"/>
    <mergeCell ref="F4:F5"/>
    <mergeCell ref="G4:H5"/>
    <mergeCell ref="I4:M5"/>
    <mergeCell ref="A6:B7"/>
    <mergeCell ref="C6:C7"/>
    <mergeCell ref="D6:E7"/>
    <mergeCell ref="F6:F7"/>
    <mergeCell ref="G6:H7"/>
    <mergeCell ref="I6:M7"/>
    <mergeCell ref="A8:B9"/>
    <mergeCell ref="C8:C9"/>
    <mergeCell ref="D8:E9"/>
    <mergeCell ref="F8:F9"/>
    <mergeCell ref="G8:H9"/>
    <mergeCell ref="I8:M9"/>
    <mergeCell ref="C10:F10"/>
    <mergeCell ref="J10:L10"/>
    <mergeCell ref="C11:F11"/>
    <mergeCell ref="C12:F12"/>
    <mergeCell ref="C13:F13"/>
    <mergeCell ref="C15:F15"/>
    <mergeCell ref="C17:F17"/>
    <mergeCell ref="C18:F18"/>
    <mergeCell ref="C20:F20"/>
    <mergeCell ref="C22:F22"/>
    <mergeCell ref="C24:F24"/>
    <mergeCell ref="C27:F27"/>
    <mergeCell ref="C29:F29"/>
    <mergeCell ref="C30:F30"/>
    <mergeCell ref="C33:F33"/>
    <mergeCell ref="C38:F38"/>
    <mergeCell ref="C41:F41"/>
    <mergeCell ref="C42:F42"/>
    <mergeCell ref="C44:F44"/>
    <mergeCell ref="C48:F48"/>
    <mergeCell ref="C50:F50"/>
    <mergeCell ref="C52:F52"/>
    <mergeCell ref="C53:F53"/>
    <mergeCell ref="C55:F55"/>
    <mergeCell ref="C56:F56"/>
    <mergeCell ref="C58:F58"/>
    <mergeCell ref="C59:F59"/>
    <mergeCell ref="C46:D46"/>
    <mergeCell ref="E46:F46"/>
    <mergeCell ref="C60:F60"/>
    <mergeCell ref="C62:F62"/>
    <mergeCell ref="C63:F63"/>
    <mergeCell ref="C68:F68"/>
    <mergeCell ref="C71:F71"/>
    <mergeCell ref="C74:F74"/>
    <mergeCell ref="C75:F75"/>
    <mergeCell ref="C76:F76"/>
    <mergeCell ref="C77:F77"/>
    <mergeCell ref="C79:F79"/>
    <mergeCell ref="C81:F81"/>
    <mergeCell ref="C83:F83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30:F130"/>
    <mergeCell ref="C132:F132"/>
    <mergeCell ref="C133:F133"/>
    <mergeCell ref="C134:F134"/>
    <mergeCell ref="C136:F136"/>
    <mergeCell ref="C138:F138"/>
    <mergeCell ref="C140:F140"/>
    <mergeCell ref="C141:F141"/>
    <mergeCell ref="C142:F142"/>
    <mergeCell ref="C143:F143"/>
    <mergeCell ref="C144:F144"/>
    <mergeCell ref="C146:F146"/>
    <mergeCell ref="C147:F147"/>
    <mergeCell ref="C148:F148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7:F157"/>
    <mergeCell ref="C158:F158"/>
    <mergeCell ref="C159:F159"/>
    <mergeCell ref="C160:F160"/>
    <mergeCell ref="C161:F161"/>
    <mergeCell ref="C162:F162"/>
    <mergeCell ref="C163:F163"/>
    <mergeCell ref="C164:F164"/>
    <mergeCell ref="C165:F165"/>
    <mergeCell ref="C166:F166"/>
    <mergeCell ref="C167:F167"/>
    <mergeCell ref="C168:F168"/>
    <mergeCell ref="C169:F169"/>
    <mergeCell ref="C172:F172"/>
    <mergeCell ref="C175:F175"/>
    <mergeCell ref="C178:F178"/>
    <mergeCell ref="C179:F179"/>
    <mergeCell ref="C180:F180"/>
    <mergeCell ref="C181:F181"/>
    <mergeCell ref="C184:F184"/>
    <mergeCell ref="C186:F186"/>
    <mergeCell ref="C188:F188"/>
    <mergeCell ref="C193:F193"/>
    <mergeCell ref="C198:F198"/>
    <mergeCell ref="C203:F203"/>
    <mergeCell ref="C204:F204"/>
    <mergeCell ref="C205:F205"/>
    <mergeCell ref="C208:F208"/>
    <mergeCell ref="C211:F211"/>
    <mergeCell ref="C213:F213"/>
    <mergeCell ref="C216:F216"/>
    <mergeCell ref="C219:F219"/>
    <mergeCell ref="C220:F220"/>
    <mergeCell ref="C221:F221"/>
    <mergeCell ref="C223:F223"/>
    <mergeCell ref="C224:F224"/>
    <mergeCell ref="C231:F231"/>
    <mergeCell ref="C232:F232"/>
    <mergeCell ref="C233:F233"/>
    <mergeCell ref="C234:F234"/>
    <mergeCell ref="C236:F236"/>
    <mergeCell ref="C237:F237"/>
    <mergeCell ref="C240:F240"/>
    <mergeCell ref="C242:F242"/>
    <mergeCell ref="C243:F243"/>
    <mergeCell ref="C244:F244"/>
    <mergeCell ref="C245:F245"/>
    <mergeCell ref="C246:F246"/>
    <mergeCell ref="C247:F247"/>
    <mergeCell ref="C249:F249"/>
    <mergeCell ref="C252:F252"/>
    <mergeCell ref="C255:F255"/>
    <mergeCell ref="C257:F257"/>
    <mergeCell ref="C258:F258"/>
    <mergeCell ref="C260:F260"/>
    <mergeCell ref="C262:F262"/>
    <mergeCell ref="C264:F264"/>
    <mergeCell ref="C266:F266"/>
    <mergeCell ref="C268:F268"/>
    <mergeCell ref="C271:F271"/>
    <mergeCell ref="C274:F274"/>
    <mergeCell ref="C276:F276"/>
    <mergeCell ref="C280:F280"/>
    <mergeCell ref="C284:F284"/>
    <mergeCell ref="C288:F288"/>
    <mergeCell ref="C302:F302"/>
    <mergeCell ref="J303:K303"/>
    <mergeCell ref="A305:M305"/>
    <mergeCell ref="C292:F292"/>
    <mergeCell ref="C296:F296"/>
    <mergeCell ref="C297:F297"/>
    <mergeCell ref="C299:F299"/>
    <mergeCell ref="C300:F300"/>
    <mergeCell ref="C301:F301"/>
  </mergeCells>
  <pageMargins left="0.39400000000000002" right="0.39400000000000002" top="0.59099999999999997" bottom="0.59099999999999997" header="0.5" footer="0.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 rozpočtu</vt:lpstr>
      <vt:lpstr>Stavební rozpočet - součet</vt:lpstr>
      <vt:lpstr>Stavební 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Hruska</dc:creator>
  <cp:lastModifiedBy>uzivatel</cp:lastModifiedBy>
  <dcterms:created xsi:type="dcterms:W3CDTF">2022-05-16T11:35:20Z</dcterms:created>
  <dcterms:modified xsi:type="dcterms:W3CDTF">2022-05-20T06:40:41Z</dcterms:modified>
</cp:coreProperties>
</file>